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G:\Sdílené disky\Bakalářská práce\Bakalářská práce\TABULKY\"/>
    </mc:Choice>
  </mc:AlternateContent>
  <xr:revisionPtr revIDLastSave="0" documentId="13_ncr:1_{A84E43E4-CE0A-4C52-AAFB-6151860BB92B}" xr6:coauthVersionLast="47" xr6:coauthVersionMax="47" xr10:uidLastSave="{00000000-0000-0000-0000-000000000000}"/>
  <bookViews>
    <workbookView xWindow="-108" yWindow="-108" windowWidth="23256" windowHeight="12456" xr2:uid="{7A401A7A-BF6D-4CEC-9C21-75990738DDE9}"/>
  </bookViews>
  <sheets>
    <sheet name="vrba" sheetId="1" r:id="rId1"/>
    <sheet name="shin" sheetId="2" r:id="rId2"/>
    <sheet name="Haggar" sheetId="6" r:id="rId3"/>
    <sheet name="Burgo" sheetId="7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6" i="7" l="1"/>
  <c r="F55" i="7"/>
  <c r="F54" i="7"/>
  <c r="D56" i="7"/>
  <c r="D55" i="7"/>
  <c r="D54" i="7"/>
  <c r="F53" i="7"/>
  <c r="D53" i="7"/>
  <c r="D52" i="7"/>
  <c r="F52" i="7"/>
  <c r="F51" i="7"/>
  <c r="D51" i="7"/>
  <c r="F50" i="7"/>
  <c r="D50" i="7"/>
  <c r="F49" i="7"/>
  <c r="D49" i="7"/>
  <c r="F48" i="7"/>
  <c r="D48" i="7"/>
  <c r="F47" i="7"/>
  <c r="D47" i="7"/>
  <c r="F46" i="7"/>
  <c r="D46" i="7"/>
  <c r="F45" i="7"/>
  <c r="D45" i="7"/>
  <c r="F44" i="7"/>
  <c r="D44" i="7"/>
  <c r="F43" i="7"/>
  <c r="D43" i="7"/>
  <c r="F42" i="7"/>
  <c r="D42" i="7"/>
  <c r="F41" i="7"/>
  <c r="D41" i="7"/>
  <c r="F40" i="7"/>
  <c r="D40" i="7"/>
  <c r="F39" i="7"/>
  <c r="D39" i="7"/>
  <c r="F38" i="7"/>
  <c r="D38" i="7"/>
  <c r="F37" i="7"/>
  <c r="D37" i="7"/>
  <c r="F34" i="7"/>
  <c r="F33" i="7"/>
  <c r="D34" i="7"/>
  <c r="D33" i="7"/>
  <c r="F32" i="7"/>
  <c r="D32" i="7"/>
  <c r="F30" i="7"/>
  <c r="D30" i="7"/>
  <c r="F29" i="7"/>
  <c r="D29" i="7"/>
  <c r="F28" i="7"/>
  <c r="D28" i="7"/>
  <c r="F27" i="7"/>
  <c r="F31" i="7" s="1"/>
  <c r="D27" i="7"/>
  <c r="D31" i="7" s="1"/>
  <c r="F26" i="7"/>
  <c r="D26" i="7"/>
  <c r="F25" i="7"/>
  <c r="D25" i="7"/>
  <c r="F24" i="7"/>
  <c r="D24" i="7"/>
  <c r="F23" i="7"/>
  <c r="D23" i="7"/>
  <c r="F22" i="7"/>
  <c r="D22" i="7"/>
  <c r="F21" i="7"/>
  <c r="D21" i="7"/>
  <c r="F20" i="7"/>
  <c r="D20" i="7"/>
  <c r="F37" i="6"/>
  <c r="D37" i="6"/>
  <c r="F35" i="6"/>
  <c r="D35" i="6"/>
  <c r="F23" i="6"/>
  <c r="F22" i="6"/>
  <c r="F21" i="6"/>
  <c r="F20" i="6"/>
  <c r="F33" i="6"/>
  <c r="D33" i="6"/>
  <c r="F32" i="6"/>
  <c r="D32" i="6"/>
  <c r="F30" i="6"/>
  <c r="F31" i="6" s="1"/>
  <c r="D30" i="6"/>
  <c r="D31" i="6" s="1"/>
  <c r="F28" i="6"/>
  <c r="D28" i="6"/>
  <c r="F27" i="6"/>
  <c r="D27" i="6"/>
  <c r="F26" i="6"/>
  <c r="F34" i="6" s="1"/>
  <c r="D26" i="6"/>
  <c r="D34" i="6" s="1"/>
  <c r="F25" i="6"/>
  <c r="D25" i="6"/>
  <c r="D23" i="6"/>
  <c r="D22" i="6"/>
  <c r="D21" i="6"/>
  <c r="D20" i="6"/>
  <c r="F18" i="6"/>
  <c r="D18" i="6"/>
  <c r="F17" i="6"/>
  <c r="D17" i="6"/>
  <c r="F16" i="6"/>
  <c r="D16" i="6"/>
  <c r="F15" i="6"/>
  <c r="F36" i="6" s="1"/>
  <c r="D15" i="6"/>
  <c r="D36" i="6" s="1"/>
  <c r="F14" i="6"/>
  <c r="D14" i="6"/>
  <c r="F41" i="1"/>
  <c r="F40" i="1"/>
  <c r="F39" i="1"/>
  <c r="F36" i="1"/>
  <c r="F35" i="1"/>
  <c r="F34" i="1"/>
  <c r="F33" i="1"/>
  <c r="F32" i="1"/>
  <c r="F31" i="1"/>
  <c r="F30" i="1"/>
  <c r="F29" i="1"/>
  <c r="F28" i="1"/>
  <c r="F27" i="1"/>
  <c r="F24" i="1"/>
  <c r="F23" i="1"/>
  <c r="F22" i="1"/>
  <c r="F20" i="1"/>
  <c r="F19" i="1"/>
  <c r="F15" i="1"/>
  <c r="F8" i="1"/>
  <c r="F11" i="1" s="1"/>
  <c r="D45" i="2"/>
  <c r="D44" i="2"/>
  <c r="D43" i="2"/>
  <c r="D42" i="2"/>
  <c r="D41" i="2"/>
  <c r="D40" i="2"/>
  <c r="D39" i="2"/>
  <c r="D38" i="2"/>
  <c r="D37" i="2"/>
  <c r="D34" i="2"/>
  <c r="D32" i="2"/>
  <c r="D30" i="2"/>
  <c r="D29" i="2"/>
  <c r="D28" i="2"/>
  <c r="D27" i="2"/>
  <c r="D26" i="2"/>
  <c r="D25" i="2"/>
  <c r="D24" i="2"/>
  <c r="D23" i="2"/>
  <c r="D20" i="2"/>
  <c r="D19" i="2"/>
  <c r="D14" i="2"/>
  <c r="D18" i="2"/>
  <c r="D17" i="2"/>
  <c r="D16" i="2"/>
  <c r="D15" i="2"/>
  <c r="D13" i="2"/>
  <c r="D41" i="1"/>
  <c r="D40" i="1"/>
  <c r="D39" i="1"/>
  <c r="D36" i="1"/>
  <c r="D35" i="1"/>
  <c r="D34" i="1"/>
  <c r="D33" i="1"/>
  <c r="D32" i="1"/>
  <c r="D31" i="1"/>
  <c r="D30" i="1"/>
  <c r="D29" i="1"/>
  <c r="D28" i="1"/>
  <c r="D27" i="1"/>
  <c r="D20" i="1"/>
  <c r="D19" i="1"/>
  <c r="D15" i="1"/>
  <c r="D8" i="1"/>
  <c r="D17" i="1" s="1"/>
  <c r="D26" i="1" l="1"/>
  <c r="D21" i="1"/>
  <c r="F25" i="1"/>
  <c r="D9" i="1"/>
  <c r="D13" i="1" s="1"/>
  <c r="F9" i="1"/>
  <c r="F13" i="1" s="1"/>
  <c r="D10" i="1"/>
  <c r="D16" i="1" s="1"/>
  <c r="D11" i="1"/>
  <c r="D22" i="1"/>
  <c r="D23" i="1"/>
  <c r="D24" i="1"/>
  <c r="F17" i="1"/>
  <c r="F26" i="1"/>
  <c r="D25" i="1"/>
  <c r="F21" i="1"/>
  <c r="F10" i="1"/>
  <c r="F1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tc={EBDC2943-D92D-4B6E-8591-3DC5E5B218CE}</author>
    <author>tc={D07208B5-D22D-40FA-AF3A-7A8F93A893B3}</author>
  </authors>
  <commentList>
    <comment ref="B4" authorId="0" shapeId="0" xr:uid="{EBDC2943-D92D-4B6E-8591-3DC5E5B218CE}">
      <text>
        <r>
          <rPr>
            <sz val="11"/>
            <color theme="1"/>
            <rFont val="Aptos Narrow"/>
            <family val="2"/>
            <charset val="238"/>
            <scheme val="minor"/>
          </rPr>
  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Poloviční obvod hrudníku</t>
        </r>
      </text>
    </comment>
    <comment ref="B5" authorId="1" shapeId="0" xr:uid="{D07208B5-D22D-40FA-AF3A-7A8F93A893B3}">
      <text>
        <r>
          <rPr>
            <sz val="11"/>
            <color theme="1"/>
            <rFont val="Aptos Narrow"/>
            <family val="2"/>
            <charset val="238"/>
            <scheme val="minor"/>
          </rPr>
  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Poloviční obvod pod prsy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tc={1775EC36-95EF-4AE9-B06E-C99E1694548C}</author>
    <author>tc={C6E35353-E4BE-4358-A32C-758C19DAD4A9}</author>
  </authors>
  <commentList>
    <comment ref="B4" authorId="0" shapeId="0" xr:uid="{1775EC36-95EF-4AE9-B06E-C99E1694548C}">
      <text>
        <r>
          <rPr>
            <sz val="11"/>
            <color theme="1"/>
            <rFont val="Aptos Narrow"/>
            <family val="2"/>
            <charset val="238"/>
            <scheme val="minor"/>
          </rPr>
  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Poloviční obvod hrudníku</t>
        </r>
      </text>
    </comment>
    <comment ref="B5" authorId="1" shapeId="0" xr:uid="{C6E35353-E4BE-4358-A32C-758C19DAD4A9}">
      <text>
        <r>
          <rPr>
            <sz val="11"/>
            <color theme="1"/>
            <rFont val="Aptos Narrow"/>
            <family val="2"/>
            <charset val="238"/>
            <scheme val="minor"/>
          </rPr>
  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Poloviční obvod pod prsy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tc={E819A167-2789-4BA1-AEA7-199032173319}</author>
  </authors>
  <commentList>
    <comment ref="B5" authorId="0" shapeId="0" xr:uid="{E819A167-2789-4BA1-AEA7-199032173319}">
      <text>
        <r>
          <rPr>
            <sz val="11"/>
            <color theme="1"/>
            <rFont val="Aptos Narrow"/>
            <family val="2"/>
            <charset val="238"/>
            <scheme val="minor"/>
          </rPr>
  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Poloviční obvod hrudníku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tc={854F11BF-D3E6-4991-B113-488539B3B01D}</author>
  </authors>
  <commentList>
    <comment ref="B5" authorId="0" shapeId="0" xr:uid="{854F11BF-D3E6-4991-B113-488539B3B01D}">
      <text>
        <r>
          <rPr>
            <sz val="11"/>
            <color theme="1"/>
            <rFont val="Aptos Narrow"/>
            <family val="2"/>
            <charset val="238"/>
            <scheme val="minor"/>
          </rPr>
  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Poloviční obvod hrudníku</t>
        </r>
      </text>
    </comment>
  </commentList>
</comments>
</file>

<file path=xl/sharedStrings.xml><?xml version="1.0" encoding="utf-8"?>
<sst xmlns="http://schemas.openxmlformats.org/spreadsheetml/2006/main" count="685" uniqueCount="273">
  <si>
    <t>Konstrukční rozměry</t>
  </si>
  <si>
    <t>POH</t>
  </si>
  <si>
    <t>cm</t>
  </si>
  <si>
    <t>č.</t>
  </si>
  <si>
    <t>Konstrukční úsečka</t>
  </si>
  <si>
    <t>1 ꓕ</t>
  </si>
  <si>
    <t>1 - 2</t>
  </si>
  <si>
    <t>1 - 4</t>
  </si>
  <si>
    <t>1 - 7</t>
  </si>
  <si>
    <t>OPP</t>
  </si>
  <si>
    <t>2 - 3</t>
  </si>
  <si>
    <t>2 - 6</t>
  </si>
  <si>
    <t>4 - 5</t>
  </si>
  <si>
    <r>
      <t xml:space="preserve">šk = 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opp + 1,2</t>
    </r>
  </si>
  <si>
    <r>
      <t xml:space="preserve">rhp = 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šk + 0,5</t>
    </r>
  </si>
  <si>
    <r>
      <t xml:space="preserve">r = 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šk</t>
    </r>
  </si>
  <si>
    <t>sok = rhp + 0,8</t>
  </si>
  <si>
    <t>5 - 2</t>
  </si>
  <si>
    <t>Vzorec</t>
  </si>
  <si>
    <t>k = 0,6</t>
  </si>
  <si>
    <t>r + 1,5</t>
  </si>
  <si>
    <t>7 - 8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</si>
  <si>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šk - 6,8</t>
    </r>
  </si>
  <si>
    <t xml:space="preserve"> ꓕ 8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</si>
  <si>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</si>
  <si>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</si>
  <si>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</si>
  <si>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</si>
  <si>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</si>
  <si>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</si>
  <si>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</si>
  <si>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</si>
  <si>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</si>
  <si>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</si>
  <si>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</si>
  <si>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</si>
  <si>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</si>
  <si>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</si>
  <si>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</si>
  <si>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</si>
  <si>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</si>
  <si>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</si>
  <si>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</si>
  <si>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</si>
  <si>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</si>
  <si>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</si>
  <si>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</si>
  <si>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</si>
  <si>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</si>
  <si>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</si>
  <si>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</si>
  <si>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 xml:space="preserve"> ꓕ 4</t>
  </si>
  <si>
    <t>8 - 9</t>
  </si>
  <si>
    <t>ddp = opp - 1</t>
  </si>
  <si>
    <t>3 - 6</t>
  </si>
  <si>
    <t>r = 100</t>
  </si>
  <si>
    <t>11 - 12</t>
  </si>
  <si>
    <t>11 - 13</t>
  </si>
  <si>
    <t>3 - 14</t>
  </si>
  <si>
    <r>
      <t xml:space="preserve">rpp = (0,25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šk)/2</t>
    </r>
  </si>
  <si>
    <t>rpp = (0,25 ꞏ šk)/2</t>
  </si>
  <si>
    <t>rpp = (0,5 ꞏ šk)/2 - 1</t>
  </si>
  <si>
    <t>rpp = (0,5 ꞏ šk)/2 + 1</t>
  </si>
  <si>
    <t>3 - 15</t>
  </si>
  <si>
    <t>10 - 16</t>
  </si>
  <si>
    <t>10 - 17</t>
  </si>
  <si>
    <t>14 - 18</t>
  </si>
  <si>
    <t>k = 2,5</t>
  </si>
  <si>
    <t>16 - 19</t>
  </si>
  <si>
    <t>k = 3,5</t>
  </si>
  <si>
    <t>5 - 20</t>
  </si>
  <si>
    <t>k = 2,3</t>
  </si>
  <si>
    <t>20 - 21</t>
  </si>
  <si>
    <t>k = 1 - 2</t>
  </si>
  <si>
    <t>12 - 12a</t>
  </si>
  <si>
    <t>k = 0,5</t>
  </si>
  <si>
    <t>13 - 13a</t>
  </si>
  <si>
    <t>ꓕ 12</t>
  </si>
  <si>
    <t>ꓕ 13</t>
  </si>
  <si>
    <t>k = 2</t>
  </si>
  <si>
    <t>12 - 15</t>
  </si>
  <si>
    <t>13 - 17</t>
  </si>
  <si>
    <t>k = 0,3 - 0,4</t>
  </si>
  <si>
    <t>12 - 22</t>
  </si>
  <si>
    <t>13 - 23</t>
  </si>
  <si>
    <t>12a - 15 + 14 - 18</t>
  </si>
  <si>
    <t>13a - 17 + 16 - 19</t>
  </si>
  <si>
    <t>9 - 24</t>
  </si>
  <si>
    <t>24 - 25</t>
  </si>
  <si>
    <t>k = 1</t>
  </si>
  <si>
    <t>25 - 26</t>
  </si>
  <si>
    <t>k = 5</t>
  </si>
  <si>
    <t>28.</t>
  </si>
  <si>
    <t>29.</t>
  </si>
  <si>
    <t>30.</t>
  </si>
  <si>
    <t>31.</t>
  </si>
  <si>
    <t>32.</t>
  </si>
  <si>
    <t>33.</t>
  </si>
  <si>
    <t>34.</t>
  </si>
  <si>
    <t>X ꓕ Y</t>
  </si>
  <si>
    <t>C.F. - A</t>
  </si>
  <si>
    <r>
      <t>[opp - (5 + 10-15% opp)</t>
    </r>
    <r>
      <rPr>
        <sz val="11"/>
        <color theme="1"/>
        <rFont val="Arial"/>
        <family val="2"/>
        <charset val="238"/>
      </rPr>
      <t>]</t>
    </r>
    <r>
      <rPr>
        <sz val="11"/>
        <color theme="1"/>
        <rFont val="Aptos Narrow"/>
        <family val="2"/>
        <charset val="238"/>
      </rPr>
      <t xml:space="preserve"> / 2</t>
    </r>
  </si>
  <si>
    <t>C.F. - B</t>
  </si>
  <si>
    <t>poh + 2 + 2,5</t>
  </si>
  <si>
    <t>C.F. - C</t>
  </si>
  <si>
    <t>k = 0,8 - 1</t>
  </si>
  <si>
    <t>A - D</t>
  </si>
  <si>
    <t>k = 3,2 - 4,5</t>
  </si>
  <si>
    <t>C.F. - E</t>
  </si>
  <si>
    <t>k = 0,7</t>
  </si>
  <si>
    <t>k = 0,8</t>
  </si>
  <si>
    <t>F</t>
  </si>
  <si>
    <t>k = 1,3</t>
  </si>
  <si>
    <t>E - F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</si>
  <si>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>(poh + 2 + 2,5)</t>
    </r>
  </si>
  <si>
    <t>ꓕ F</t>
  </si>
  <si>
    <t>D - G</t>
  </si>
  <si>
    <t>k = 3,2</t>
  </si>
  <si>
    <t>Konstrukce spodního košíčku</t>
  </si>
  <si>
    <t>Konstrukce sedla</t>
  </si>
  <si>
    <t>A - B</t>
  </si>
  <si>
    <t>A - C</t>
  </si>
  <si>
    <t>B - D</t>
  </si>
  <si>
    <t>B - E</t>
  </si>
  <si>
    <t>Výška prsou</t>
  </si>
  <si>
    <t>Vnější oblouk poprsí</t>
  </si>
  <si>
    <t>Vnitřní oblouk poprsí</t>
  </si>
  <si>
    <r>
      <t xml:space="preserve">výška prsou </t>
    </r>
    <r>
      <rPr>
        <sz val="11"/>
        <color theme="1"/>
        <rFont val="Arial"/>
        <family val="2"/>
        <charset val="238"/>
      </rPr>
      <t>ꞏ 3 / 5</t>
    </r>
  </si>
  <si>
    <r>
      <t xml:space="preserve">výška prsou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2 / 5</t>
    </r>
  </si>
  <si>
    <t>vnitřní oblouk poprsí - 0,3</t>
  </si>
  <si>
    <t>vnější oblouk poprsí - 0,3</t>
  </si>
  <si>
    <r>
      <t xml:space="preserve">0,333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BD</t>
    </r>
  </si>
  <si>
    <t>G</t>
  </si>
  <si>
    <t>ꓕ G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</si>
  <si>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BE</t>
    </r>
  </si>
  <si>
    <t>H</t>
  </si>
  <si>
    <t>I</t>
  </si>
  <si>
    <t>ꓕ H</t>
  </si>
  <si>
    <t>ꓕ I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</si>
  <si>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CD</t>
    </r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</si>
  <si>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CE</t>
    </r>
  </si>
  <si>
    <t>Konstrukce vrchního košíčku</t>
  </si>
  <si>
    <t>vnitřní oblouk poprsí - 0,1</t>
  </si>
  <si>
    <t>vnější oblouk poprsí - 0,1</t>
  </si>
  <si>
    <r>
      <t>C - C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</si>
  <si>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 xml:space="preserve">E ꓕ BD </t>
    </r>
    <r>
      <rPr>
        <sz val="11"/>
        <color theme="1"/>
        <rFont val="Arial"/>
        <family val="2"/>
        <charset val="238"/>
      </rPr>
      <t>Ո</t>
    </r>
    <r>
      <rPr>
        <sz val="11"/>
        <color theme="1"/>
        <rFont val="Aptos Narrow"/>
        <family val="2"/>
        <charset val="238"/>
      </rPr>
      <t xml:space="preserve"> B</t>
    </r>
  </si>
  <si>
    <r>
      <t>F ꓕ CD Ո C</t>
    </r>
    <r>
      <rPr>
        <vertAlign val="subscript"/>
        <sz val="11"/>
        <color theme="1"/>
        <rFont val="Aptos Narrow"/>
        <family val="2"/>
        <scheme val="minor"/>
      </rPr>
      <t>1</t>
    </r>
  </si>
  <si>
    <t>X - G</t>
  </si>
  <si>
    <t>k = 9,5</t>
  </si>
  <si>
    <t>G - H</t>
  </si>
  <si>
    <r>
      <t>D - C</t>
    </r>
    <r>
      <rPr>
        <vertAlign val="subscript"/>
        <sz val="11"/>
        <color theme="1"/>
        <rFont val="Aptos Narrow"/>
        <family val="2"/>
        <scheme val="minor"/>
      </rPr>
      <t>1</t>
    </r>
  </si>
  <si>
    <t>k = 3</t>
  </si>
  <si>
    <t>k = 2,7</t>
  </si>
  <si>
    <t>Hodnota s přídavkem</t>
  </si>
  <si>
    <t>Hodnota bez přídavku</t>
  </si>
  <si>
    <t>0 ꓕ</t>
  </si>
  <si>
    <t>0 - 1</t>
  </si>
  <si>
    <t>0 - 2</t>
  </si>
  <si>
    <t>dz + 2</t>
  </si>
  <si>
    <t>0 - 3</t>
  </si>
  <si>
    <t>3 - 4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</si>
  <si>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1-3 + 4</t>
    </r>
  </si>
  <si>
    <t>5 - 7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</si>
  <si>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5-3</t>
    </r>
  </si>
  <si>
    <t>DZ</t>
  </si>
  <si>
    <t>OK</t>
  </si>
  <si>
    <t>0 - 8</t>
  </si>
  <si>
    <r>
      <t xml:space="preserve">0,2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ok - 0,2</t>
    </r>
  </si>
  <si>
    <t>2 - 9</t>
  </si>
  <si>
    <t>2 - 10</t>
  </si>
  <si>
    <t>ŠZ</t>
  </si>
  <si>
    <t>7 - 11</t>
  </si>
  <si>
    <r>
      <t xml:space="preserve">0,2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ok - 1,6</t>
    </r>
  </si>
  <si>
    <r>
      <t xml:space="preserve">0,2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ok + 0,2</t>
    </r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</si>
  <si>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šz</t>
    </r>
  </si>
  <si>
    <t>3 - 13</t>
  </si>
  <si>
    <r>
      <t xml:space="preserve">0,333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3-7 - 0,4</t>
    </r>
  </si>
  <si>
    <t>13 - 14</t>
  </si>
  <si>
    <t>14 - 15</t>
  </si>
  <si>
    <t>15 - 16</t>
  </si>
  <si>
    <t>17</t>
  </si>
  <si>
    <t>10 - 18</t>
  </si>
  <si>
    <t>18 - 19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</si>
  <si>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šz + 2,4</t>
    </r>
  </si>
  <si>
    <t>ŠR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</si>
  <si>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šr</t>
    </r>
    <r>
      <rPr>
        <sz val="11"/>
        <color theme="1"/>
        <rFont val="Aptos Narrow"/>
        <family val="2"/>
        <charset val="238"/>
        <scheme val="minor"/>
      </rPr>
      <t xml:space="preserve"> + 0,5</t>
    </r>
  </si>
  <si>
    <t>k = 1,4</t>
  </si>
  <si>
    <t>k = 6 - 8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</si>
  <si>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10-6 + 2</t>
    </r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</si>
  <si>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šz + 2,2</t>
    </r>
  </si>
  <si>
    <t>10 - 20</t>
  </si>
  <si>
    <t>18-19 + 4,3</t>
  </si>
  <si>
    <t>k = 0,3</t>
  </si>
  <si>
    <t>6 - 22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</si>
  <si>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pš</t>
    </r>
  </si>
  <si>
    <t>PŠ</t>
  </si>
  <si>
    <t>21 - 23</t>
  </si>
  <si>
    <t>14-15</t>
  </si>
  <si>
    <t>23 - 24</t>
  </si>
  <si>
    <r>
      <t xml:space="preserve">0,5 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  <scheme val="minor"/>
      </rPr>
      <t xml:space="preserve"> 5-6</t>
    </r>
  </si>
  <si>
    <t>27 - 28</t>
  </si>
  <si>
    <t>OH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</si>
  <si>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OH + 0,5</t>
    </r>
  </si>
  <si>
    <r>
      <t xml:space="preserve">0,125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(0,5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oh - 0,3)</t>
    </r>
  </si>
  <si>
    <t>ꓕ A</t>
  </si>
  <si>
    <t>VP</t>
  </si>
  <si>
    <t>OP</t>
  </si>
  <si>
    <t>ŠZR</t>
  </si>
  <si>
    <r>
      <t>A - B</t>
    </r>
    <r>
      <rPr>
        <vertAlign val="subscript"/>
        <sz val="11"/>
        <color theme="1"/>
        <rFont val="Aptos Narrow"/>
        <family val="2"/>
        <scheme val="minor"/>
      </rPr>
      <t>1</t>
    </r>
  </si>
  <si>
    <t>A - G</t>
  </si>
  <si>
    <t>A - H</t>
  </si>
  <si>
    <t>H - L</t>
  </si>
  <si>
    <t>I - M</t>
  </si>
  <si>
    <t>D - R</t>
  </si>
  <si>
    <t>Konstrukce zadního dílu</t>
  </si>
  <si>
    <t>Konstrukce předního dílu</t>
  </si>
  <si>
    <r>
      <t xml:space="preserve">1/24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</t>
    </r>
    <r>
      <rPr>
        <sz val="11"/>
        <color theme="1"/>
        <rFont val="Aptos Narrow"/>
        <family val="2"/>
        <charset val="238"/>
        <scheme val="minor"/>
      </rPr>
      <t>poh + 0,2</t>
    </r>
  </si>
  <si>
    <t>k = 4,5</t>
  </si>
  <si>
    <r>
      <t>D - D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</si>
  <si>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>B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charset val="238"/>
        <scheme val="minor"/>
      </rPr>
      <t xml:space="preserve"> - L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</si>
  <si>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>R - R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</si>
  <si>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>R - R</t>
    </r>
    <r>
      <rPr>
        <vertAlign val="subscript"/>
        <sz val="11"/>
        <color theme="1"/>
        <rFont val="Aptos Narrow"/>
        <family val="2"/>
        <scheme val="minor"/>
      </rPr>
      <t>3</t>
    </r>
  </si>
  <si>
    <r>
      <t>R - R</t>
    </r>
    <r>
      <rPr>
        <vertAlign val="subscript"/>
        <sz val="11"/>
        <color theme="1"/>
        <rFont val="Aptos Narrow"/>
        <family val="2"/>
        <scheme val="minor"/>
      </rPr>
      <t>4</t>
    </r>
  </si>
  <si>
    <r>
      <t xml:space="preserve">0,125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vp + </t>
    </r>
    <r>
      <rPr>
        <sz val="11"/>
        <color theme="1"/>
        <rFont val="Aptos Narrow"/>
        <family val="2"/>
        <charset val="238"/>
        <scheme val="minor"/>
      </rPr>
      <t xml:space="preserve">1/24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poh </t>
    </r>
    <r>
      <rPr>
        <sz val="11"/>
        <color theme="1"/>
        <rFont val="Aptos Narrow"/>
        <family val="2"/>
      </rPr>
      <t>±</t>
    </r>
    <r>
      <rPr>
        <sz val="11"/>
        <color theme="1"/>
        <rFont val="Aptos Narrow"/>
        <family val="2"/>
        <charset val="238"/>
      </rPr>
      <t xml:space="preserve"> P</t>
    </r>
  </si>
  <si>
    <t>dz</t>
  </si>
  <si>
    <r>
      <t xml:space="preserve">1/6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poh</t>
    </r>
  </si>
  <si>
    <r>
      <t xml:space="preserve">0,25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</t>
    </r>
    <r>
      <rPr>
        <sz val="11"/>
        <color theme="1"/>
        <rFont val="Aptos Narrow"/>
        <family val="2"/>
        <charset val="238"/>
        <scheme val="minor"/>
      </rPr>
      <t xml:space="preserve">oh - 1 </t>
    </r>
    <r>
      <rPr>
        <sz val="11"/>
        <color theme="1"/>
        <rFont val="Aptos Narrow"/>
        <family val="2"/>
      </rPr>
      <t>±</t>
    </r>
    <r>
      <rPr>
        <sz val="11"/>
        <color theme="1"/>
        <rFont val="Aptos Narrow"/>
        <family val="2"/>
        <charset val="238"/>
      </rPr>
      <t xml:space="preserve"> P</t>
    </r>
  </si>
  <si>
    <r>
      <t xml:space="preserve">0,25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op - 1 + 3 </t>
    </r>
    <r>
      <rPr>
        <sz val="11"/>
        <color theme="1"/>
        <rFont val="Aptos Narrow"/>
        <family val="2"/>
      </rPr>
      <t>±</t>
    </r>
    <r>
      <rPr>
        <sz val="11"/>
        <color theme="1"/>
        <rFont val="Aptos Narrow"/>
        <family val="2"/>
        <charset val="238"/>
      </rPr>
      <t xml:space="preserve"> P</t>
    </r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</si>
  <si>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</t>
    </r>
    <r>
      <rPr>
        <sz val="11"/>
        <color theme="1"/>
        <rFont val="Aptos Narrow"/>
        <family val="2"/>
        <charset val="238"/>
        <scheme val="minor"/>
      </rPr>
      <t>šzr</t>
    </r>
  </si>
  <si>
    <r>
      <t>k = 5</t>
    </r>
    <r>
      <rPr>
        <sz val="11"/>
        <color theme="1"/>
        <rFont val="Aptos Narrow"/>
        <family val="2"/>
      </rPr>
      <t>↑</t>
    </r>
    <r>
      <rPr>
        <sz val="11"/>
        <color theme="1"/>
        <rFont val="Aptos Narrow"/>
        <family val="2"/>
        <charset val="238"/>
      </rPr>
      <t xml:space="preserve"> 0,3</t>
    </r>
    <r>
      <rPr>
        <sz val="11"/>
        <color theme="1"/>
        <rFont val="Aptos Narrow"/>
        <family val="2"/>
      </rPr>
      <t>→</t>
    </r>
    <r>
      <rPr>
        <sz val="11"/>
        <color theme="1"/>
        <rFont val="Aptos Narrow"/>
        <family val="2"/>
        <charset val="238"/>
        <scheme val="minor"/>
      </rPr>
      <t xml:space="preserve"> </t>
    </r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</si>
  <si>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D-D</t>
    </r>
    <r>
      <rPr>
        <vertAlign val="subscript"/>
        <sz val="11"/>
        <color theme="1"/>
        <rFont val="Aptos Narrow"/>
        <family val="2"/>
      </rPr>
      <t>1</t>
    </r>
  </si>
  <si>
    <t>k = -2</t>
  </si>
  <si>
    <t>k = 1,5</t>
  </si>
  <si>
    <t>ꓕ A´</t>
  </si>
  <si>
    <t>A´ - C´</t>
  </si>
  <si>
    <t>0,125 ꞏ vp + 1/24 ꞏ poh ± P</t>
  </si>
  <si>
    <t>A´ - D´</t>
  </si>
  <si>
    <t>PD</t>
  </si>
  <si>
    <t>H´ - L´</t>
  </si>
  <si>
    <t>HP</t>
  </si>
  <si>
    <t>MPŠ</t>
  </si>
  <si>
    <t>I´ - M´</t>
  </si>
  <si>
    <t>D´ - R´</t>
  </si>
  <si>
    <t>35.</t>
  </si>
  <si>
    <t>36.</t>
  </si>
  <si>
    <t>37.</t>
  </si>
  <si>
    <t>pd</t>
  </si>
  <si>
    <r>
      <t>D´ - A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</si>
  <si>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>A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charset val="238"/>
        <scheme val="minor"/>
      </rPr>
      <t xml:space="preserve"> - B´</t>
    </r>
  </si>
  <si>
    <r>
      <t>A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charset val="238"/>
        <scheme val="minor"/>
      </rPr>
      <t xml:space="preserve"> - G´</t>
    </r>
  </si>
  <si>
    <r>
      <t>A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charset val="238"/>
        <scheme val="minor"/>
      </rPr>
      <t xml:space="preserve"> - H´</t>
    </r>
  </si>
  <si>
    <r>
      <t>C´ - C</t>
    </r>
    <r>
      <rPr>
        <vertAlign val="subscript"/>
        <sz val="11"/>
        <color theme="1"/>
        <rFont val="Aptos Narrow"/>
        <family val="2"/>
        <scheme val="minor"/>
      </rPr>
      <t>2</t>
    </r>
  </si>
  <si>
    <r>
      <t>D´ - D</t>
    </r>
    <r>
      <rPr>
        <vertAlign val="subscript"/>
        <sz val="11"/>
        <color theme="1"/>
        <rFont val="Aptos Narrow"/>
        <family val="2"/>
        <scheme val="minor"/>
      </rPr>
      <t>2</t>
    </r>
  </si>
  <si>
    <r>
      <t>A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charset val="238"/>
        <scheme val="minor"/>
      </rPr>
      <t xml:space="preserve"> - N</t>
    </r>
  </si>
  <si>
    <r>
      <t>N - N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</si>
  <si>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>G´ - G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</si>
  <si>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>G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charset val="238"/>
        <scheme val="minor"/>
      </rPr>
      <t xml:space="preserve"> - G</t>
    </r>
    <r>
      <rPr>
        <vertAlign val="subscript"/>
        <sz val="11"/>
        <color theme="1"/>
        <rFont val="Aptos Narrow"/>
        <family val="2"/>
        <scheme val="minor"/>
      </rPr>
      <t>2</t>
    </r>
  </si>
  <si>
    <r>
      <t>N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charset val="238"/>
        <scheme val="minor"/>
      </rPr>
      <t xml:space="preserve"> - N</t>
    </r>
    <r>
      <rPr>
        <vertAlign val="subscript"/>
        <sz val="11"/>
        <color theme="1"/>
        <rFont val="Aptos Narrow"/>
        <family val="2"/>
        <scheme val="minor"/>
      </rPr>
      <t>2</t>
    </r>
  </si>
  <si>
    <r>
      <t>M´ - M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</si>
  <si>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>N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charset val="238"/>
        <scheme val="minor"/>
      </rPr>
      <t xml:space="preserve"> - R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charset val="238"/>
        <scheme val="minor"/>
      </rPr>
      <t>´</t>
    </r>
  </si>
  <si>
    <r>
      <t>R´ - R</t>
    </r>
    <r>
      <rPr>
        <vertAlign val="sub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charset val="238"/>
        <scheme val="minor"/>
      </rPr>
      <t>´</t>
    </r>
  </si>
  <si>
    <r>
      <t>R</t>
    </r>
    <r>
      <rPr>
        <vertAlign val="sub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charset val="238"/>
        <scheme val="minor"/>
      </rPr>
      <t>´ - R</t>
    </r>
    <r>
      <rPr>
        <vertAlign val="subscript"/>
        <sz val="11"/>
        <color theme="1"/>
        <rFont val="Aptos Narrow"/>
        <family val="2"/>
        <scheme val="minor"/>
      </rPr>
      <t>4</t>
    </r>
    <r>
      <rPr>
        <sz val="11"/>
        <color theme="1"/>
        <rFont val="Aptos Narrow"/>
        <family val="2"/>
        <charset val="238"/>
        <scheme val="minor"/>
      </rPr>
      <t>´</t>
    </r>
  </si>
  <si>
    <r>
      <t xml:space="preserve">1/6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poh + 1</t>
    </r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</si>
  <si>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šz - 1</t>
    </r>
  </si>
  <si>
    <t>OHP</t>
  </si>
  <si>
    <r>
      <t xml:space="preserve">0,25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</t>
    </r>
    <r>
      <rPr>
        <sz val="11"/>
        <color theme="1"/>
        <rFont val="Aptos Narrow"/>
        <family val="2"/>
        <charset val="238"/>
        <scheme val="minor"/>
      </rPr>
      <t xml:space="preserve">ohp + 1 </t>
    </r>
    <r>
      <rPr>
        <sz val="11"/>
        <color theme="1"/>
        <rFont val="Aptos Narrow"/>
        <family val="2"/>
      </rPr>
      <t>±</t>
    </r>
    <r>
      <rPr>
        <sz val="11"/>
        <color theme="1"/>
        <rFont val="Aptos Narrow"/>
        <family val="2"/>
        <charset val="238"/>
      </rPr>
      <t xml:space="preserve"> P</t>
    </r>
  </si>
  <si>
    <r>
      <t xml:space="preserve">0,25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op + 1 + 3 </t>
    </r>
    <r>
      <rPr>
        <sz val="11"/>
        <color theme="1"/>
        <rFont val="Aptos Narrow"/>
        <family val="2"/>
      </rPr>
      <t>±</t>
    </r>
    <r>
      <rPr>
        <sz val="11"/>
        <color theme="1"/>
        <rFont val="Aptos Narrow"/>
        <family val="2"/>
        <charset val="238"/>
      </rPr>
      <t xml:space="preserve"> P</t>
    </r>
  </si>
  <si>
    <t>k = 7,5</t>
  </si>
  <si>
    <t>hp</t>
  </si>
  <si>
    <r>
      <t xml:space="preserve">0,5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mpš</t>
    </r>
  </si>
  <si>
    <r>
      <t xml:space="preserve">0,1 </t>
    </r>
    <r>
      <rPr>
        <sz val="11"/>
        <color theme="1"/>
        <rFont val="Arial"/>
        <family val="2"/>
        <charset val="238"/>
      </rPr>
      <t>ꞏ</t>
    </r>
    <r>
      <rPr>
        <sz val="11"/>
        <color theme="1"/>
        <rFont val="Aptos Narrow"/>
        <family val="2"/>
        <charset val="238"/>
      </rPr>
      <t xml:space="preserve"> </t>
    </r>
    <r>
      <rPr>
        <sz val="11"/>
        <color theme="1"/>
        <rFont val="Aptos Narrow"/>
        <family val="2"/>
        <charset val="238"/>
        <scheme val="minor"/>
      </rPr>
      <t>poh + 0,5</t>
    </r>
  </si>
  <si>
    <t>k = 1,6</t>
  </si>
  <si>
    <r>
      <t>k = 7,5</t>
    </r>
    <r>
      <rPr>
        <sz val="11"/>
        <color theme="1"/>
        <rFont val="Aptos Narrow"/>
        <family val="2"/>
      </rPr>
      <t>↑ 2←</t>
    </r>
    <r>
      <rPr>
        <sz val="11"/>
        <color theme="1"/>
        <rFont val="Aptos Narrow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</si>
</sst>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color theme="1"/>
      <name val="Aptos Narrow"/>
      <family val="2"/>
      <charset val="238"/>
    </font>
    <font>
      <sz val="8"/>
      <name val="Aptos Narrow"/>
      <family val="2"/>
      <charset val="238"/>
      <scheme val="minor"/>
    </font>
    <font>
      <vertAlign val="subscript"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bscript"/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2" borderId="0" xfId="0" applyFill="1"/>
    <xf numFmtId="49" fontId="0" fillId="2" borderId="0" xfId="0" applyNumberFormat="1" applyFill="1"/>
    <xf numFmtId="0" fontId="0" fillId="2" borderId="2" xfId="0" applyFill="1" applyBorder="1"/>
    <xf numFmtId="0" fontId="0" fillId="2" borderId="4" xfId="0" applyFill="1" applyBorder="1"/>
    <xf numFmtId="0" fontId="0" fillId="2" borderId="5" xfId="0" applyFill="1" applyBorder="1"/>
    <xf numFmtId="49" fontId="0" fillId="2" borderId="5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/>
    </xf>
    <xf numFmtId="49" fontId="0" fillId="2" borderId="5" xfId="0" applyNumberFormat="1" applyFill="1" applyBorder="1" applyAlignment="1">
      <alignment horizontal="center"/>
    </xf>
    <xf numFmtId="0" fontId="0" fillId="2" borderId="6" xfId="0" applyFill="1" applyBorder="1"/>
    <xf numFmtId="49" fontId="0" fillId="2" borderId="7" xfId="0" applyNumberFormat="1" applyFill="1" applyBorder="1" applyAlignment="1">
      <alignment horizontal="center"/>
    </xf>
    <xf numFmtId="0" fontId="0" fillId="2" borderId="7" xfId="0" applyFill="1" applyBorder="1"/>
    <xf numFmtId="164" fontId="0" fillId="2" borderId="9" xfId="0" applyNumberFormat="1" applyFill="1" applyBorder="1"/>
    <xf numFmtId="0" fontId="0" fillId="2" borderId="10" xfId="0" applyFill="1" applyBorder="1"/>
    <xf numFmtId="164" fontId="0" fillId="2" borderId="11" xfId="0" applyNumberFormat="1" applyFill="1" applyBorder="1"/>
    <xf numFmtId="0" fontId="0" fillId="2" borderId="12" xfId="0" applyFill="1" applyBorder="1"/>
    <xf numFmtId="0" fontId="0" fillId="2" borderId="4" xfId="0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0" fontId="0" fillId="2" borderId="9" xfId="0" applyFill="1" applyBorder="1"/>
    <xf numFmtId="0" fontId="0" fillId="2" borderId="11" xfId="0" applyFill="1" applyBorder="1"/>
    <xf numFmtId="0" fontId="0" fillId="2" borderId="13" xfId="0" applyFill="1" applyBorder="1" applyAlignment="1">
      <alignment horizontal="right"/>
    </xf>
    <xf numFmtId="0" fontId="0" fillId="2" borderId="14" xfId="0" applyFill="1" applyBorder="1"/>
    <xf numFmtId="0" fontId="0" fillId="2" borderId="15" xfId="0" applyFill="1" applyBorder="1"/>
    <xf numFmtId="0" fontId="0" fillId="2" borderId="13" xfId="0" applyFill="1" applyBorder="1"/>
    <xf numFmtId="0" fontId="0" fillId="2" borderId="18" xfId="0" applyFill="1" applyBorder="1" applyAlignment="1">
      <alignment horizontal="center" vertical="center"/>
    </xf>
    <xf numFmtId="0" fontId="0" fillId="2" borderId="18" xfId="0" applyFill="1" applyBorder="1"/>
    <xf numFmtId="164" fontId="0" fillId="2" borderId="14" xfId="0" applyNumberFormat="1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20" xfId="0" applyFill="1" applyBorder="1"/>
    <xf numFmtId="0" fontId="0" fillId="2" borderId="21" xfId="0" applyFill="1" applyBorder="1"/>
    <xf numFmtId="49" fontId="0" fillId="2" borderId="22" xfId="0" applyNumberFormat="1" applyFill="1" applyBorder="1" applyAlignment="1">
      <alignment horizontal="center" vertical="center"/>
    </xf>
    <xf numFmtId="0" fontId="0" fillId="2" borderId="22" xfId="0" applyFill="1" applyBorder="1"/>
    <xf numFmtId="164" fontId="0" fillId="2" borderId="23" xfId="0" applyNumberFormat="1" applyFill="1" applyBorder="1"/>
    <xf numFmtId="0" fontId="0" fillId="2" borderId="24" xfId="0" applyFill="1" applyBorder="1"/>
    <xf numFmtId="49" fontId="0" fillId="2" borderId="18" xfId="0" applyNumberFormat="1" applyFill="1" applyBorder="1" applyAlignment="1">
      <alignment horizontal="center" vertical="center"/>
    </xf>
    <xf numFmtId="49" fontId="0" fillId="2" borderId="22" xfId="0" applyNumberFormat="1" applyFill="1" applyBorder="1" applyAlignment="1">
      <alignment horizontal="center"/>
    </xf>
    <xf numFmtId="0" fontId="0" fillId="2" borderId="27" xfId="0" applyFill="1" applyBorder="1"/>
    <xf numFmtId="0" fontId="0" fillId="2" borderId="28" xfId="0" applyFill="1" applyBorder="1"/>
    <xf numFmtId="0" fontId="0" fillId="2" borderId="29" xfId="0" applyFill="1" applyBorder="1"/>
    <xf numFmtId="0" fontId="0" fillId="2" borderId="30" xfId="0" applyFill="1" applyBorder="1"/>
    <xf numFmtId="0" fontId="0" fillId="2" borderId="32" xfId="0" applyFill="1" applyBorder="1"/>
    <xf numFmtId="0" fontId="0" fillId="2" borderId="26" xfId="0" applyFill="1" applyBorder="1"/>
    <xf numFmtId="0" fontId="0" fillId="2" borderId="36" xfId="0" applyFill="1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164" fontId="0" fillId="2" borderId="31" xfId="0" applyNumberFormat="1" applyFill="1" applyBorder="1"/>
    <xf numFmtId="0" fontId="0" fillId="2" borderId="40" xfId="0" applyFill="1" applyBorder="1"/>
    <xf numFmtId="0" fontId="0" fillId="2" borderId="0" xfId="0" applyFill="1" applyAlignment="1">
      <alignment horizontal="center"/>
    </xf>
    <xf numFmtId="164" fontId="0" fillId="2" borderId="0" xfId="0" applyNumberFormat="1" applyFill="1"/>
    <xf numFmtId="49" fontId="0" fillId="2" borderId="0" xfId="0" applyNumberFormat="1" applyFill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21" xfId="0" applyFill="1" applyBorder="1" applyAlignment="1">
      <alignment horizontal="right"/>
    </xf>
    <xf numFmtId="0" fontId="0" fillId="2" borderId="23" xfId="0" applyFill="1" applyBorder="1"/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2" borderId="35" xfId="0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oman base" id="{5BEC632D-DACA-42E5-9E15-A044B4C1ADC4}" userId="647fcaa45e78ca13" providerId="Windows Live"/>
</personList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" dT="2024-03-18T15:24:57.49" personId="{5BEC632D-DACA-42E5-9E15-A044B4C1ADC4}" id="{EBDC2943-D92D-4B6E-8591-3DC5E5B218CE}">
    <text>Poloviční obvod hrudníku</text>
  </threadedComment>
  <threadedComment ref="B5" dT="2024-03-18T15:25:58.99" personId="{5BEC632D-DACA-42E5-9E15-A044B4C1ADC4}" id="{D07208B5-D22D-40FA-AF3A-7A8F93A893B3}">
    <text>Poloviční obvod pod prsy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4" dT="2024-03-18T15:24:57.49" personId="{5BEC632D-DACA-42E5-9E15-A044B4C1ADC4}" id="{1775EC36-95EF-4AE9-B06E-C99E1694548C}">
    <text>Poloviční obvod hrudníku</text>
  </threadedComment>
  <threadedComment ref="B5" dT="2024-03-18T15:25:58.99" personId="{5BEC632D-DACA-42E5-9E15-A044B4C1ADC4}" id="{C6E35353-E4BE-4358-A32C-758C19DAD4A9}">
    <text>Poloviční obvod pod prsy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5" dT="2024-03-18T15:24:57.49" personId="{5BEC632D-DACA-42E5-9E15-A044B4C1ADC4}" id="{E819A167-2789-4BA1-AEA7-199032173319}">
    <text>Poloviční obvod hrudníku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B5" dT="2024-03-18T15:24:57.49" personId="{5BEC632D-DACA-42E5-9E15-A044B4C1ADC4}" id="{854F11BF-D3E6-4991-B113-488539B3B01D}">
    <text>Poloviční obvod hrudníku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6949F-5AB5-4411-8047-B079746F06E5}">
  <dimension ref="A2:G57"/>
  <sheetViews>
    <sheetView tabSelected="1" workbookViewId="0">
      <selection activeCell="I11" sqref="I11"/>
    </sheetView>
  </sheetViews>
  <sheetFormatPr defaultRowHeight="14.4" x14ac:dyDescent="0.3"/>
  <cols>
    <col min="1" max="1" width="8.88671875" style="1"/>
    <col min="2" max="2" width="19.21875" style="1" customWidth="1"/>
    <col min="3" max="3" width="20.109375" style="1" customWidth="1"/>
    <col min="4" max="16384" width="8.88671875" style="1"/>
  </cols>
  <sheetData>
    <row r="2" spans="1:7" ht="15" thickBot="1" x14ac:dyDescent="0.35"/>
    <row r="3" spans="1:7" ht="15.6" thickTop="1" thickBot="1" x14ac:dyDescent="0.35">
      <c r="B3" s="55" t="s">
        <v>0</v>
      </c>
      <c r="C3" s="56"/>
      <c r="D3" s="57"/>
    </row>
    <row r="4" spans="1:7" ht="15" thickTop="1" x14ac:dyDescent="0.3">
      <c r="B4" s="20" t="s">
        <v>1</v>
      </c>
      <c r="C4" s="21">
        <v>45</v>
      </c>
      <c r="D4" s="22" t="s">
        <v>2</v>
      </c>
    </row>
    <row r="5" spans="1:7" ht="15" thickBot="1" x14ac:dyDescent="0.35">
      <c r="B5" s="17" t="s">
        <v>9</v>
      </c>
      <c r="C5" s="19">
        <v>37.5</v>
      </c>
      <c r="D5" s="15" t="s">
        <v>2</v>
      </c>
    </row>
    <row r="6" spans="1:7" ht="15.6" thickTop="1" thickBot="1" x14ac:dyDescent="0.35"/>
    <row r="7" spans="1:7" ht="15.6" thickTop="1" thickBot="1" x14ac:dyDescent="0.35">
      <c r="A7" s="27" t="s">
        <v>3</v>
      </c>
      <c r="B7" s="28" t="s">
        <v>4</v>
      </c>
      <c r="C7" s="28" t="s">
        <v>18</v>
      </c>
      <c r="D7" s="58" t="s">
        <v>153</v>
      </c>
      <c r="E7" s="59"/>
      <c r="F7" s="58" t="s">
        <v>154</v>
      </c>
      <c r="G7" s="60"/>
    </row>
    <row r="8" spans="1:7" ht="15" thickTop="1" x14ac:dyDescent="0.3">
      <c r="A8" s="23" t="s">
        <v>24</v>
      </c>
      <c r="B8" s="24" t="s">
        <v>5</v>
      </c>
      <c r="C8" s="25" t="s">
        <v>13</v>
      </c>
      <c r="D8" s="26">
        <f>0.5*C5+1.2</f>
        <v>19.95</v>
      </c>
      <c r="E8" s="38" t="s">
        <v>2</v>
      </c>
      <c r="F8" s="26">
        <f>0.5*C5+0.6</f>
        <v>19.350000000000001</v>
      </c>
      <c r="G8" s="22" t="s">
        <v>2</v>
      </c>
    </row>
    <row r="9" spans="1:7" x14ac:dyDescent="0.3">
      <c r="A9" s="4" t="s">
        <v>25</v>
      </c>
      <c r="B9" s="6" t="s">
        <v>6</v>
      </c>
      <c r="C9" s="5" t="s">
        <v>14</v>
      </c>
      <c r="D9" s="12">
        <f>0.5*D8+0.5</f>
        <v>10.475</v>
      </c>
      <c r="E9" s="39" t="s">
        <v>2</v>
      </c>
      <c r="F9" s="12">
        <f>0.5*F8+0.3</f>
        <v>9.9750000000000014</v>
      </c>
      <c r="G9" s="13" t="s">
        <v>2</v>
      </c>
    </row>
    <row r="10" spans="1:7" x14ac:dyDescent="0.3">
      <c r="A10" s="4" t="s">
        <v>26</v>
      </c>
      <c r="B10" s="6" t="s">
        <v>10</v>
      </c>
      <c r="C10" s="5" t="s">
        <v>15</v>
      </c>
      <c r="D10" s="12">
        <f>0.5*D8</f>
        <v>9.9749999999999996</v>
      </c>
      <c r="E10" s="39" t="s">
        <v>2</v>
      </c>
      <c r="F10" s="12">
        <f>0.5*F8</f>
        <v>9.6750000000000007</v>
      </c>
      <c r="G10" s="13" t="s">
        <v>2</v>
      </c>
    </row>
    <row r="11" spans="1:7" x14ac:dyDescent="0.3">
      <c r="A11" s="4" t="s">
        <v>27</v>
      </c>
      <c r="B11" s="6" t="s">
        <v>7</v>
      </c>
      <c r="C11" s="5" t="s">
        <v>15</v>
      </c>
      <c r="D11" s="12">
        <f>0.5*D8</f>
        <v>9.9749999999999996</v>
      </c>
      <c r="E11" s="39" t="s">
        <v>2</v>
      </c>
      <c r="F11" s="12">
        <f>0.5*F8</f>
        <v>9.6750000000000007</v>
      </c>
      <c r="G11" s="13" t="s">
        <v>2</v>
      </c>
    </row>
    <row r="12" spans="1:7" x14ac:dyDescent="0.3">
      <c r="A12" s="4" t="s">
        <v>28</v>
      </c>
      <c r="B12" s="7" t="s">
        <v>51</v>
      </c>
      <c r="C12" s="5"/>
      <c r="D12" s="12"/>
      <c r="E12" s="39"/>
      <c r="F12" s="12"/>
      <c r="G12" s="13"/>
    </row>
    <row r="13" spans="1:7" x14ac:dyDescent="0.3">
      <c r="A13" s="4" t="s">
        <v>29</v>
      </c>
      <c r="B13" s="6" t="s">
        <v>12</v>
      </c>
      <c r="C13" s="5" t="s">
        <v>16</v>
      </c>
      <c r="D13" s="12">
        <f>D9+0.8</f>
        <v>11.275</v>
      </c>
      <c r="E13" s="39" t="s">
        <v>2</v>
      </c>
      <c r="F13" s="12">
        <f>F9+0.4</f>
        <v>10.375000000000002</v>
      </c>
      <c r="G13" s="13" t="s">
        <v>2</v>
      </c>
    </row>
    <row r="14" spans="1:7" x14ac:dyDescent="0.3">
      <c r="A14" s="4" t="s">
        <v>30</v>
      </c>
      <c r="B14" s="6" t="s">
        <v>17</v>
      </c>
      <c r="C14" s="5"/>
      <c r="D14" s="12"/>
      <c r="E14" s="39"/>
      <c r="F14" s="12"/>
      <c r="G14" s="13"/>
    </row>
    <row r="15" spans="1:7" x14ac:dyDescent="0.3">
      <c r="A15" s="4" t="s">
        <v>31</v>
      </c>
      <c r="B15" s="6" t="s">
        <v>11</v>
      </c>
      <c r="C15" s="5" t="s">
        <v>19</v>
      </c>
      <c r="D15" s="12">
        <f>0.6</f>
        <v>0.6</v>
      </c>
      <c r="E15" s="39" t="s">
        <v>2</v>
      </c>
      <c r="F15" s="12">
        <f>0.6</f>
        <v>0.6</v>
      </c>
      <c r="G15" s="13" t="s">
        <v>2</v>
      </c>
    </row>
    <row r="16" spans="1:7" x14ac:dyDescent="0.3">
      <c r="A16" s="4" t="s">
        <v>32</v>
      </c>
      <c r="B16" s="6" t="s">
        <v>8</v>
      </c>
      <c r="C16" s="5" t="s">
        <v>20</v>
      </c>
      <c r="D16" s="12">
        <f>D10+1.5</f>
        <v>11.475</v>
      </c>
      <c r="E16" s="39" t="s">
        <v>2</v>
      </c>
      <c r="F16" s="12">
        <f>F10</f>
        <v>9.6750000000000007</v>
      </c>
      <c r="G16" s="13" t="s">
        <v>2</v>
      </c>
    </row>
    <row r="17" spans="1:7" x14ac:dyDescent="0.3">
      <c r="A17" s="4" t="s">
        <v>33</v>
      </c>
      <c r="B17" s="6" t="s">
        <v>21</v>
      </c>
      <c r="C17" s="5" t="s">
        <v>22</v>
      </c>
      <c r="D17" s="12">
        <f>0.5*D8-6.8</f>
        <v>3.1749999999999998</v>
      </c>
      <c r="E17" s="39" t="s">
        <v>2</v>
      </c>
      <c r="F17" s="12">
        <f>0.5*F8-6.8</f>
        <v>2.8750000000000009</v>
      </c>
      <c r="G17" s="13" t="s">
        <v>2</v>
      </c>
    </row>
    <row r="18" spans="1:7" x14ac:dyDescent="0.3">
      <c r="A18" s="4" t="s">
        <v>34</v>
      </c>
      <c r="B18" s="6" t="s">
        <v>23</v>
      </c>
      <c r="C18" s="5"/>
      <c r="D18" s="12"/>
      <c r="E18" s="39"/>
      <c r="F18" s="12"/>
      <c r="G18" s="13"/>
    </row>
    <row r="19" spans="1:7" x14ac:dyDescent="0.3">
      <c r="A19" s="4" t="s">
        <v>35</v>
      </c>
      <c r="B19" s="6" t="s">
        <v>52</v>
      </c>
      <c r="C19" s="5" t="s">
        <v>53</v>
      </c>
      <c r="D19" s="12">
        <f>C5-1</f>
        <v>36.5</v>
      </c>
      <c r="E19" s="39" t="s">
        <v>2</v>
      </c>
      <c r="F19" s="12">
        <f>C5-1</f>
        <v>36.5</v>
      </c>
      <c r="G19" s="13" t="s">
        <v>2</v>
      </c>
    </row>
    <row r="20" spans="1:7" x14ac:dyDescent="0.3">
      <c r="A20" s="4" t="s">
        <v>36</v>
      </c>
      <c r="B20" s="6" t="s">
        <v>54</v>
      </c>
      <c r="C20" s="5" t="s">
        <v>55</v>
      </c>
      <c r="D20" s="12">
        <f>100</f>
        <v>100</v>
      </c>
      <c r="E20" s="39" t="s">
        <v>2</v>
      </c>
      <c r="F20" s="12">
        <f>100</f>
        <v>100</v>
      </c>
      <c r="G20" s="13" t="s">
        <v>2</v>
      </c>
    </row>
    <row r="21" spans="1:7" x14ac:dyDescent="0.3">
      <c r="A21" s="4" t="s">
        <v>37</v>
      </c>
      <c r="B21" s="6" t="s">
        <v>56</v>
      </c>
      <c r="C21" s="5" t="s">
        <v>59</v>
      </c>
      <c r="D21" s="12">
        <f>(0.25*D8)/2</f>
        <v>2.4937499999999999</v>
      </c>
      <c r="E21" s="39" t="s">
        <v>2</v>
      </c>
      <c r="F21" s="12">
        <f>(0.25*F8)/2</f>
        <v>2.4187500000000002</v>
      </c>
      <c r="G21" s="13" t="s">
        <v>2</v>
      </c>
    </row>
    <row r="22" spans="1:7" x14ac:dyDescent="0.3">
      <c r="A22" s="4" t="s">
        <v>38</v>
      </c>
      <c r="B22" s="6" t="s">
        <v>57</v>
      </c>
      <c r="C22" s="5" t="s">
        <v>60</v>
      </c>
      <c r="D22" s="12">
        <f>(0.25*D8)/2</f>
        <v>2.4937499999999999</v>
      </c>
      <c r="E22" s="39" t="s">
        <v>2</v>
      </c>
      <c r="F22" s="12">
        <f>(0.25*F8)/2</f>
        <v>2.4187500000000002</v>
      </c>
      <c r="G22" s="13" t="s">
        <v>2</v>
      </c>
    </row>
    <row r="23" spans="1:7" x14ac:dyDescent="0.3">
      <c r="A23" s="4" t="s">
        <v>39</v>
      </c>
      <c r="B23" s="6" t="s">
        <v>58</v>
      </c>
      <c r="C23" s="5" t="s">
        <v>61</v>
      </c>
      <c r="D23" s="12">
        <f>(0.5*D8)/2-1</f>
        <v>3.9874999999999998</v>
      </c>
      <c r="E23" s="39" t="s">
        <v>2</v>
      </c>
      <c r="F23" s="12">
        <f>(0.5*F8)/2-1</f>
        <v>3.8375000000000004</v>
      </c>
      <c r="G23" s="13" t="s">
        <v>2</v>
      </c>
    </row>
    <row r="24" spans="1:7" x14ac:dyDescent="0.3">
      <c r="A24" s="4" t="s">
        <v>40</v>
      </c>
      <c r="B24" s="6" t="s">
        <v>63</v>
      </c>
      <c r="C24" s="5" t="s">
        <v>62</v>
      </c>
      <c r="D24" s="12">
        <f>(0.5*D8)/2+1</f>
        <v>5.9874999999999998</v>
      </c>
      <c r="E24" s="39" t="s">
        <v>2</v>
      </c>
      <c r="F24" s="12">
        <f>(0.5*F8)/2+1</f>
        <v>5.8375000000000004</v>
      </c>
      <c r="G24" s="13" t="s">
        <v>2</v>
      </c>
    </row>
    <row r="25" spans="1:7" x14ac:dyDescent="0.3">
      <c r="A25" s="4" t="s">
        <v>41</v>
      </c>
      <c r="B25" s="6" t="s">
        <v>64</v>
      </c>
      <c r="C25" s="5" t="s">
        <v>60</v>
      </c>
      <c r="D25" s="12">
        <f>(0.25*D8)/2</f>
        <v>2.4937499999999999</v>
      </c>
      <c r="E25" s="39" t="s">
        <v>2</v>
      </c>
      <c r="F25" s="12">
        <f>(0.25*F8)/2</f>
        <v>2.4187500000000002</v>
      </c>
      <c r="G25" s="13" t="s">
        <v>2</v>
      </c>
    </row>
    <row r="26" spans="1:7" x14ac:dyDescent="0.3">
      <c r="A26" s="4" t="s">
        <v>42</v>
      </c>
      <c r="B26" s="6" t="s">
        <v>65</v>
      </c>
      <c r="C26" s="5" t="s">
        <v>60</v>
      </c>
      <c r="D26" s="12">
        <f>(0.25*D8)/2</f>
        <v>2.4937499999999999</v>
      </c>
      <c r="E26" s="39" t="s">
        <v>2</v>
      </c>
      <c r="F26" s="12">
        <f>(0.25*F8)/2</f>
        <v>2.4187500000000002</v>
      </c>
      <c r="G26" s="13" t="s">
        <v>2</v>
      </c>
    </row>
    <row r="27" spans="1:7" x14ac:dyDescent="0.3">
      <c r="A27" s="4" t="s">
        <v>43</v>
      </c>
      <c r="B27" s="6" t="s">
        <v>66</v>
      </c>
      <c r="C27" s="5" t="s">
        <v>67</v>
      </c>
      <c r="D27" s="12">
        <f>2.5</f>
        <v>2.5</v>
      </c>
      <c r="E27" s="39" t="s">
        <v>2</v>
      </c>
      <c r="F27" s="12">
        <f>2.5</f>
        <v>2.5</v>
      </c>
      <c r="G27" s="13" t="s">
        <v>2</v>
      </c>
    </row>
    <row r="28" spans="1:7" x14ac:dyDescent="0.3">
      <c r="A28" s="4" t="s">
        <v>44</v>
      </c>
      <c r="B28" s="6" t="s">
        <v>68</v>
      </c>
      <c r="C28" s="5" t="s">
        <v>69</v>
      </c>
      <c r="D28" s="12">
        <f>3.5</f>
        <v>3.5</v>
      </c>
      <c r="E28" s="39" t="s">
        <v>2</v>
      </c>
      <c r="F28" s="12">
        <f>3.5</f>
        <v>3.5</v>
      </c>
      <c r="G28" s="13" t="s">
        <v>2</v>
      </c>
    </row>
    <row r="29" spans="1:7" x14ac:dyDescent="0.3">
      <c r="A29" s="4" t="s">
        <v>45</v>
      </c>
      <c r="B29" s="6" t="s">
        <v>70</v>
      </c>
      <c r="C29" s="5" t="s">
        <v>71</v>
      </c>
      <c r="D29" s="12">
        <f>2.3</f>
        <v>2.2999999999999998</v>
      </c>
      <c r="E29" s="39" t="s">
        <v>2</v>
      </c>
      <c r="F29" s="12">
        <f>2.3</f>
        <v>2.2999999999999998</v>
      </c>
      <c r="G29" s="13" t="s">
        <v>2</v>
      </c>
    </row>
    <row r="30" spans="1:7" x14ac:dyDescent="0.3">
      <c r="A30" s="4" t="s">
        <v>46</v>
      </c>
      <c r="B30" s="8" t="s">
        <v>72</v>
      </c>
      <c r="C30" s="5" t="s">
        <v>73</v>
      </c>
      <c r="D30" s="12">
        <f>1</f>
        <v>1</v>
      </c>
      <c r="E30" s="39" t="s">
        <v>2</v>
      </c>
      <c r="F30" s="12">
        <f>1</f>
        <v>1</v>
      </c>
      <c r="G30" s="13" t="s">
        <v>2</v>
      </c>
    </row>
    <row r="31" spans="1:7" x14ac:dyDescent="0.3">
      <c r="A31" s="4" t="s">
        <v>47</v>
      </c>
      <c r="B31" s="7" t="s">
        <v>74</v>
      </c>
      <c r="C31" s="5" t="s">
        <v>75</v>
      </c>
      <c r="D31" s="12">
        <f>0.5</f>
        <v>0.5</v>
      </c>
      <c r="E31" s="39" t="s">
        <v>2</v>
      </c>
      <c r="F31" s="12">
        <f>0.5</f>
        <v>0.5</v>
      </c>
      <c r="G31" s="13" t="s">
        <v>2</v>
      </c>
    </row>
    <row r="32" spans="1:7" x14ac:dyDescent="0.3">
      <c r="A32" s="4" t="s">
        <v>48</v>
      </c>
      <c r="B32" s="7" t="s">
        <v>76</v>
      </c>
      <c r="C32" s="5" t="s">
        <v>75</v>
      </c>
      <c r="D32" s="12">
        <f>0.5</f>
        <v>0.5</v>
      </c>
      <c r="E32" s="39" t="s">
        <v>2</v>
      </c>
      <c r="F32" s="12">
        <f>0.5</f>
        <v>0.5</v>
      </c>
      <c r="G32" s="13" t="s">
        <v>2</v>
      </c>
    </row>
    <row r="33" spans="1:7" x14ac:dyDescent="0.3">
      <c r="A33" s="4" t="s">
        <v>49</v>
      </c>
      <c r="B33" s="7" t="s">
        <v>77</v>
      </c>
      <c r="C33" s="5" t="s">
        <v>79</v>
      </c>
      <c r="D33" s="12">
        <f>2</f>
        <v>2</v>
      </c>
      <c r="E33" s="39" t="s">
        <v>2</v>
      </c>
      <c r="F33" s="12">
        <f>2</f>
        <v>2</v>
      </c>
      <c r="G33" s="13" t="s">
        <v>2</v>
      </c>
    </row>
    <row r="34" spans="1:7" x14ac:dyDescent="0.3">
      <c r="A34" s="4" t="s">
        <v>50</v>
      </c>
      <c r="B34" s="7" t="s">
        <v>78</v>
      </c>
      <c r="C34" s="5" t="s">
        <v>79</v>
      </c>
      <c r="D34" s="12">
        <f>2</f>
        <v>2</v>
      </c>
      <c r="E34" s="39" t="s">
        <v>2</v>
      </c>
      <c r="F34" s="12">
        <f>2</f>
        <v>2</v>
      </c>
      <c r="G34" s="13" t="s">
        <v>2</v>
      </c>
    </row>
    <row r="35" spans="1:7" x14ac:dyDescent="0.3">
      <c r="A35" s="4" t="s">
        <v>92</v>
      </c>
      <c r="B35" s="8" t="s">
        <v>80</v>
      </c>
      <c r="C35" s="5" t="s">
        <v>82</v>
      </c>
      <c r="D35" s="12">
        <f>0.3</f>
        <v>0.3</v>
      </c>
      <c r="E35" s="39" t="s">
        <v>2</v>
      </c>
      <c r="F35" s="12">
        <f>0.3</f>
        <v>0.3</v>
      </c>
      <c r="G35" s="13" t="s">
        <v>2</v>
      </c>
    </row>
    <row r="36" spans="1:7" x14ac:dyDescent="0.3">
      <c r="A36" s="4" t="s">
        <v>93</v>
      </c>
      <c r="B36" s="8" t="s">
        <v>81</v>
      </c>
      <c r="C36" s="5" t="s">
        <v>82</v>
      </c>
      <c r="D36" s="12">
        <f>0.3</f>
        <v>0.3</v>
      </c>
      <c r="E36" s="39" t="s">
        <v>2</v>
      </c>
      <c r="F36" s="12">
        <f>0.3</f>
        <v>0.3</v>
      </c>
      <c r="G36" s="13" t="s">
        <v>2</v>
      </c>
    </row>
    <row r="37" spans="1:7" x14ac:dyDescent="0.3">
      <c r="A37" s="4" t="s">
        <v>94</v>
      </c>
      <c r="B37" s="8" t="s">
        <v>83</v>
      </c>
      <c r="C37" s="5" t="s">
        <v>85</v>
      </c>
      <c r="D37" s="12"/>
      <c r="E37" s="39"/>
      <c r="F37" s="12"/>
      <c r="G37" s="13"/>
    </row>
    <row r="38" spans="1:7" x14ac:dyDescent="0.3">
      <c r="A38" s="4" t="s">
        <v>95</v>
      </c>
      <c r="B38" s="8" t="s">
        <v>84</v>
      </c>
      <c r="C38" s="5" t="s">
        <v>86</v>
      </c>
      <c r="D38" s="12"/>
      <c r="E38" s="39"/>
      <c r="F38" s="12"/>
      <c r="G38" s="13"/>
    </row>
    <row r="39" spans="1:7" x14ac:dyDescent="0.3">
      <c r="A39" s="4" t="s">
        <v>96</v>
      </c>
      <c r="B39" s="8" t="s">
        <v>87</v>
      </c>
      <c r="C39" s="5" t="s">
        <v>79</v>
      </c>
      <c r="D39" s="12">
        <f>2</f>
        <v>2</v>
      </c>
      <c r="E39" s="39" t="s">
        <v>2</v>
      </c>
      <c r="F39" s="12">
        <f>2</f>
        <v>2</v>
      </c>
      <c r="G39" s="13" t="s">
        <v>2</v>
      </c>
    </row>
    <row r="40" spans="1:7" x14ac:dyDescent="0.3">
      <c r="A40" s="4" t="s">
        <v>97</v>
      </c>
      <c r="B40" s="8" t="s">
        <v>88</v>
      </c>
      <c r="C40" s="5" t="s">
        <v>89</v>
      </c>
      <c r="D40" s="12">
        <f>1</f>
        <v>1</v>
      </c>
      <c r="E40" s="39" t="s">
        <v>2</v>
      </c>
      <c r="F40" s="12">
        <f>1</f>
        <v>1</v>
      </c>
      <c r="G40" s="13" t="s">
        <v>2</v>
      </c>
    </row>
    <row r="41" spans="1:7" ht="15" thickBot="1" x14ac:dyDescent="0.35">
      <c r="A41" s="9" t="s">
        <v>98</v>
      </c>
      <c r="B41" s="10" t="s">
        <v>90</v>
      </c>
      <c r="C41" s="11" t="s">
        <v>91</v>
      </c>
      <c r="D41" s="14">
        <f>5</f>
        <v>5</v>
      </c>
      <c r="E41" s="40" t="s">
        <v>2</v>
      </c>
      <c r="F41" s="14">
        <f>5</f>
        <v>5</v>
      </c>
      <c r="G41" s="15" t="s">
        <v>2</v>
      </c>
    </row>
    <row r="42" spans="1:7" ht="15" thickTop="1" x14ac:dyDescent="0.3">
      <c r="B42" s="2"/>
    </row>
    <row r="43" spans="1:7" x14ac:dyDescent="0.3">
      <c r="B43" s="2"/>
    </row>
    <row r="44" spans="1:7" x14ac:dyDescent="0.3">
      <c r="B44" s="2"/>
    </row>
    <row r="45" spans="1:7" x14ac:dyDescent="0.3">
      <c r="B45" s="2"/>
    </row>
    <row r="46" spans="1:7" x14ac:dyDescent="0.3">
      <c r="B46" s="2"/>
    </row>
    <row r="47" spans="1:7" x14ac:dyDescent="0.3">
      <c r="B47" s="2"/>
    </row>
    <row r="48" spans="1:7" x14ac:dyDescent="0.3">
      <c r="B48" s="2"/>
    </row>
    <row r="49" spans="2:2" x14ac:dyDescent="0.3">
      <c r="B49" s="2"/>
    </row>
    <row r="50" spans="2:2" x14ac:dyDescent="0.3">
      <c r="B50" s="2"/>
    </row>
    <row r="51" spans="2:2" x14ac:dyDescent="0.3">
      <c r="B51" s="2"/>
    </row>
    <row r="52" spans="2:2" x14ac:dyDescent="0.3">
      <c r="B52" s="2"/>
    </row>
    <row r="53" spans="2:2" x14ac:dyDescent="0.3">
      <c r="B53" s="2"/>
    </row>
    <row r="54" spans="2:2" x14ac:dyDescent="0.3">
      <c r="B54" s="2"/>
    </row>
    <row r="55" spans="2:2" x14ac:dyDescent="0.3">
      <c r="B55" s="2"/>
    </row>
    <row r="56" spans="2:2" x14ac:dyDescent="0.3">
      <c r="B56" s="2"/>
    </row>
    <row r="57" spans="2:2" x14ac:dyDescent="0.3">
      <c r="B57" s="2"/>
    </row>
  </sheetData>
  <mergeCells count="3">
    <mergeCell ref="B3:D3"/>
    <mergeCell ref="D7:E7"/>
    <mergeCell ref="F7:G7"/>
  </mergeCells>
  <phoneticPr fontId="3" type="noConversion"/>
  <pageMargins left="0.7" right="0.7" top="0.78740157499999996" bottom="0.78740157499999996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AE694-07D0-41C5-AE02-861B706626DE}">
  <dimension ref="A2:G61"/>
  <sheetViews>
    <sheetView topLeftCell="A16" workbookViewId="0">
      <selection activeCell="A3" sqref="A3:G45"/>
    </sheetView>
  </sheetViews>
  <sheetFormatPr defaultRowHeight="14.4" x14ac:dyDescent="0.3"/>
  <cols>
    <col min="1" max="1" width="8.88671875" style="1"/>
    <col min="2" max="2" width="19.21875" style="1" customWidth="1"/>
    <col min="3" max="3" width="23.21875" style="1" customWidth="1"/>
    <col min="4" max="16384" width="8.88671875" style="1"/>
  </cols>
  <sheetData>
    <row r="2" spans="1:7" ht="15" thickBot="1" x14ac:dyDescent="0.35"/>
    <row r="3" spans="1:7" ht="15" thickTop="1" x14ac:dyDescent="0.3">
      <c r="B3" s="63" t="s">
        <v>0</v>
      </c>
      <c r="C3" s="64"/>
      <c r="D3" s="65"/>
    </row>
    <row r="4" spans="1:7" x14ac:dyDescent="0.3">
      <c r="B4" s="16" t="s">
        <v>1</v>
      </c>
      <c r="C4" s="18">
        <v>45</v>
      </c>
      <c r="D4" s="13" t="s">
        <v>2</v>
      </c>
    </row>
    <row r="5" spans="1:7" x14ac:dyDescent="0.3">
      <c r="B5" s="16" t="s">
        <v>9</v>
      </c>
      <c r="C5" s="18">
        <v>37.5</v>
      </c>
      <c r="D5" s="13" t="s">
        <v>2</v>
      </c>
    </row>
    <row r="6" spans="1:7" x14ac:dyDescent="0.3">
      <c r="B6" s="16" t="s">
        <v>124</v>
      </c>
      <c r="C6" s="18">
        <v>8.5</v>
      </c>
      <c r="D6" s="13" t="s">
        <v>2</v>
      </c>
    </row>
    <row r="7" spans="1:7" x14ac:dyDescent="0.3">
      <c r="B7" s="16" t="s">
        <v>126</v>
      </c>
      <c r="C7" s="18">
        <v>9</v>
      </c>
      <c r="D7" s="13" t="s">
        <v>2</v>
      </c>
    </row>
    <row r="8" spans="1:7" ht="15" thickBot="1" x14ac:dyDescent="0.35">
      <c r="B8" s="17" t="s">
        <v>125</v>
      </c>
      <c r="C8" s="19">
        <v>10</v>
      </c>
      <c r="D8" s="15" t="s">
        <v>2</v>
      </c>
    </row>
    <row r="9" spans="1:7" ht="15.6" thickTop="1" thickBot="1" x14ac:dyDescent="0.35"/>
    <row r="10" spans="1:7" ht="15.6" thickTop="1" thickBot="1" x14ac:dyDescent="0.35">
      <c r="A10" s="27" t="s">
        <v>3</v>
      </c>
      <c r="B10" s="28" t="s">
        <v>4</v>
      </c>
      <c r="C10" s="28" t="s">
        <v>18</v>
      </c>
      <c r="D10" s="58" t="s">
        <v>153</v>
      </c>
      <c r="E10" s="67"/>
      <c r="F10" s="61" t="s">
        <v>154</v>
      </c>
      <c r="G10" s="62"/>
    </row>
    <row r="11" spans="1:7" ht="15.6" thickTop="1" thickBot="1" x14ac:dyDescent="0.35">
      <c r="A11" s="66" t="s">
        <v>119</v>
      </c>
      <c r="B11" s="59"/>
      <c r="C11" s="59"/>
      <c r="D11" s="59"/>
      <c r="E11" s="59"/>
      <c r="F11" s="42"/>
      <c r="G11" s="29"/>
    </row>
    <row r="12" spans="1:7" ht="15" thickTop="1" x14ac:dyDescent="0.3">
      <c r="A12" s="23" t="s">
        <v>24</v>
      </c>
      <c r="B12" s="24" t="s">
        <v>99</v>
      </c>
      <c r="C12" s="25"/>
      <c r="D12" s="47"/>
      <c r="E12" s="44"/>
      <c r="F12" s="38"/>
      <c r="G12" s="22"/>
    </row>
    <row r="13" spans="1:7" x14ac:dyDescent="0.3">
      <c r="A13" s="4" t="s">
        <v>25</v>
      </c>
      <c r="B13" s="6" t="s">
        <v>100</v>
      </c>
      <c r="C13" s="5" t="s">
        <v>101</v>
      </c>
      <c r="D13" s="12">
        <f>(C5-(5))/2</f>
        <v>16.25</v>
      </c>
      <c r="E13" s="45" t="s">
        <v>2</v>
      </c>
      <c r="F13" s="39"/>
      <c r="G13" s="13" t="s">
        <v>2</v>
      </c>
    </row>
    <row r="14" spans="1:7" x14ac:dyDescent="0.3">
      <c r="A14" s="4" t="s">
        <v>26</v>
      </c>
      <c r="B14" s="6" t="s">
        <v>102</v>
      </c>
      <c r="C14" s="5" t="s">
        <v>103</v>
      </c>
      <c r="D14" s="12">
        <f>C4+2+2.5</f>
        <v>49.5</v>
      </c>
      <c r="E14" s="45" t="s">
        <v>2</v>
      </c>
      <c r="F14" s="39"/>
      <c r="G14" s="13" t="s">
        <v>2</v>
      </c>
    </row>
    <row r="15" spans="1:7" x14ac:dyDescent="0.3">
      <c r="A15" s="4" t="s">
        <v>27</v>
      </c>
      <c r="B15" s="6" t="s">
        <v>104</v>
      </c>
      <c r="C15" s="5" t="s">
        <v>105</v>
      </c>
      <c r="D15" s="12">
        <f>0.8</f>
        <v>0.8</v>
      </c>
      <c r="E15" s="45" t="s">
        <v>2</v>
      </c>
      <c r="F15" s="39"/>
      <c r="G15" s="13" t="s">
        <v>2</v>
      </c>
    </row>
    <row r="16" spans="1:7" x14ac:dyDescent="0.3">
      <c r="A16" s="4" t="s">
        <v>28</v>
      </c>
      <c r="B16" s="7" t="s">
        <v>106</v>
      </c>
      <c r="C16" s="5" t="s">
        <v>107</v>
      </c>
      <c r="D16" s="12">
        <f>3.2</f>
        <v>3.2</v>
      </c>
      <c r="E16" s="45" t="s">
        <v>2</v>
      </c>
      <c r="F16" s="39"/>
      <c r="G16" s="13" t="s">
        <v>2</v>
      </c>
    </row>
    <row r="17" spans="1:7" x14ac:dyDescent="0.3">
      <c r="A17" s="4" t="s">
        <v>29</v>
      </c>
      <c r="B17" s="6" t="s">
        <v>108</v>
      </c>
      <c r="C17" s="5" t="s">
        <v>19</v>
      </c>
      <c r="D17" s="12">
        <f>0.6</f>
        <v>0.6</v>
      </c>
      <c r="E17" s="45" t="s">
        <v>2</v>
      </c>
      <c r="F17" s="39"/>
      <c r="G17" s="13" t="s">
        <v>2</v>
      </c>
    </row>
    <row r="18" spans="1:7" x14ac:dyDescent="0.3">
      <c r="A18" s="4" t="s">
        <v>30</v>
      </c>
      <c r="B18" s="6" t="s">
        <v>113</v>
      </c>
      <c r="C18" s="5" t="s">
        <v>114</v>
      </c>
      <c r="D18" s="12">
        <f>0.5*D14</f>
        <v>24.75</v>
      </c>
      <c r="E18" s="45" t="s">
        <v>2</v>
      </c>
      <c r="F18" s="39"/>
      <c r="G18" s="13" t="s">
        <v>2</v>
      </c>
    </row>
    <row r="19" spans="1:7" x14ac:dyDescent="0.3">
      <c r="A19" s="4" t="s">
        <v>31</v>
      </c>
      <c r="B19" s="6" t="s">
        <v>115</v>
      </c>
      <c r="C19" s="5" t="s">
        <v>112</v>
      </c>
      <c r="D19" s="12">
        <f>1.3</f>
        <v>1.3</v>
      </c>
      <c r="E19" s="45" t="s">
        <v>2</v>
      </c>
      <c r="F19" s="39"/>
      <c r="G19" s="13" t="s">
        <v>2</v>
      </c>
    </row>
    <row r="20" spans="1:7" ht="15" thickBot="1" x14ac:dyDescent="0.35">
      <c r="A20" s="30" t="s">
        <v>32</v>
      </c>
      <c r="B20" s="31" t="s">
        <v>116</v>
      </c>
      <c r="C20" s="32" t="s">
        <v>117</v>
      </c>
      <c r="D20" s="14">
        <f>3.2</f>
        <v>3.2</v>
      </c>
      <c r="E20" s="46" t="s">
        <v>2</v>
      </c>
      <c r="F20" s="41"/>
      <c r="G20" s="34" t="s">
        <v>2</v>
      </c>
    </row>
    <row r="21" spans="1:7" ht="15.6" thickTop="1" thickBot="1" x14ac:dyDescent="0.35">
      <c r="A21" s="66" t="s">
        <v>118</v>
      </c>
      <c r="B21" s="59"/>
      <c r="C21" s="59"/>
      <c r="D21" s="59"/>
      <c r="E21" s="59"/>
      <c r="F21" s="42"/>
      <c r="G21" s="29"/>
    </row>
    <row r="22" spans="1:7" ht="15" thickTop="1" x14ac:dyDescent="0.3">
      <c r="A22" s="23" t="s">
        <v>33</v>
      </c>
      <c r="B22" s="35" t="s">
        <v>99</v>
      </c>
      <c r="C22" s="3"/>
      <c r="D22" s="47"/>
      <c r="E22" s="44"/>
      <c r="F22" s="38"/>
      <c r="G22" s="22"/>
    </row>
    <row r="23" spans="1:7" x14ac:dyDescent="0.3">
      <c r="A23" s="4" t="s">
        <v>34</v>
      </c>
      <c r="B23" s="6" t="s">
        <v>120</v>
      </c>
      <c r="C23" s="25" t="s">
        <v>127</v>
      </c>
      <c r="D23" s="12">
        <f>C6*3/5</f>
        <v>5.0999999999999996</v>
      </c>
      <c r="E23" s="45" t="s">
        <v>2</v>
      </c>
      <c r="F23" s="39"/>
      <c r="G23" s="13" t="s">
        <v>2</v>
      </c>
    </row>
    <row r="24" spans="1:7" x14ac:dyDescent="0.3">
      <c r="A24" s="4" t="s">
        <v>35</v>
      </c>
      <c r="B24" s="6" t="s">
        <v>121</v>
      </c>
      <c r="C24" s="1" t="s">
        <v>128</v>
      </c>
      <c r="D24" s="12">
        <f>C6*2/5</f>
        <v>3.4</v>
      </c>
      <c r="E24" s="45" t="s">
        <v>2</v>
      </c>
      <c r="F24" s="39"/>
      <c r="G24" s="13" t="s">
        <v>2</v>
      </c>
    </row>
    <row r="25" spans="1:7" x14ac:dyDescent="0.3">
      <c r="A25" s="4" t="s">
        <v>36</v>
      </c>
      <c r="B25" s="6" t="s">
        <v>122</v>
      </c>
      <c r="C25" s="5" t="s">
        <v>129</v>
      </c>
      <c r="D25" s="12">
        <f>C7-0.3</f>
        <v>8.6999999999999993</v>
      </c>
      <c r="E25" s="45" t="s">
        <v>2</v>
      </c>
      <c r="F25" s="39"/>
      <c r="G25" s="13" t="s">
        <v>2</v>
      </c>
    </row>
    <row r="26" spans="1:7" x14ac:dyDescent="0.3">
      <c r="A26" s="4" t="s">
        <v>37</v>
      </c>
      <c r="B26" s="6" t="s">
        <v>123</v>
      </c>
      <c r="C26" s="5" t="s">
        <v>130</v>
      </c>
      <c r="D26" s="12">
        <f>C8-0.3</f>
        <v>9.6999999999999993</v>
      </c>
      <c r="E26" s="45" t="s">
        <v>2</v>
      </c>
      <c r="F26" s="39"/>
      <c r="G26" s="13" t="s">
        <v>2</v>
      </c>
    </row>
    <row r="27" spans="1:7" x14ac:dyDescent="0.3">
      <c r="A27" s="4" t="s">
        <v>38</v>
      </c>
      <c r="B27" s="6" t="s">
        <v>111</v>
      </c>
      <c r="C27" s="5" t="s">
        <v>131</v>
      </c>
      <c r="D27" s="12">
        <f>0.333*D25</f>
        <v>2.8971</v>
      </c>
      <c r="E27" s="45" t="s">
        <v>2</v>
      </c>
      <c r="F27" s="39"/>
      <c r="G27" s="13" t="s">
        <v>2</v>
      </c>
    </row>
    <row r="28" spans="1:7" x14ac:dyDescent="0.3">
      <c r="A28" s="4" t="s">
        <v>39</v>
      </c>
      <c r="B28" s="6" t="s">
        <v>115</v>
      </c>
      <c r="C28" s="5" t="s">
        <v>89</v>
      </c>
      <c r="D28" s="12">
        <f>1</f>
        <v>1</v>
      </c>
      <c r="E28" s="45" t="s">
        <v>2</v>
      </c>
      <c r="F28" s="39"/>
      <c r="G28" s="13" t="s">
        <v>2</v>
      </c>
    </row>
    <row r="29" spans="1:7" x14ac:dyDescent="0.3">
      <c r="A29" s="4" t="s">
        <v>40</v>
      </c>
      <c r="B29" s="6" t="s">
        <v>132</v>
      </c>
      <c r="C29" s="5" t="s">
        <v>134</v>
      </c>
      <c r="D29" s="12">
        <f>0.5*D26</f>
        <v>4.8499999999999996</v>
      </c>
      <c r="E29" s="45" t="s">
        <v>2</v>
      </c>
      <c r="F29" s="39"/>
      <c r="G29" s="13" t="s">
        <v>2</v>
      </c>
    </row>
    <row r="30" spans="1:7" x14ac:dyDescent="0.3">
      <c r="A30" s="4" t="s">
        <v>41</v>
      </c>
      <c r="B30" s="6" t="s">
        <v>133</v>
      </c>
      <c r="C30" s="5" t="s">
        <v>109</v>
      </c>
      <c r="D30" s="12">
        <f>0.7</f>
        <v>0.7</v>
      </c>
      <c r="E30" s="45" t="s">
        <v>2</v>
      </c>
      <c r="F30" s="39"/>
      <c r="G30" s="13" t="s">
        <v>2</v>
      </c>
    </row>
    <row r="31" spans="1:7" x14ac:dyDescent="0.3">
      <c r="A31" s="4" t="s">
        <v>42</v>
      </c>
      <c r="B31" s="6" t="s">
        <v>135</v>
      </c>
      <c r="C31" s="5" t="s">
        <v>139</v>
      </c>
      <c r="D31" s="12"/>
      <c r="E31" s="45" t="s">
        <v>2</v>
      </c>
      <c r="F31" s="39"/>
      <c r="G31" s="13" t="s">
        <v>2</v>
      </c>
    </row>
    <row r="32" spans="1:7" x14ac:dyDescent="0.3">
      <c r="A32" s="4" t="s">
        <v>43</v>
      </c>
      <c r="B32" s="6" t="s">
        <v>137</v>
      </c>
      <c r="C32" s="5" t="s">
        <v>110</v>
      </c>
      <c r="D32" s="12">
        <f>0.8</f>
        <v>0.8</v>
      </c>
      <c r="E32" s="45" t="s">
        <v>2</v>
      </c>
      <c r="F32" s="39"/>
      <c r="G32" s="13" t="s">
        <v>2</v>
      </c>
    </row>
    <row r="33" spans="1:7" x14ac:dyDescent="0.3">
      <c r="A33" s="4" t="s">
        <v>44</v>
      </c>
      <c r="B33" s="6" t="s">
        <v>136</v>
      </c>
      <c r="C33" s="5" t="s">
        <v>140</v>
      </c>
      <c r="D33" s="12"/>
      <c r="E33" s="45" t="s">
        <v>2</v>
      </c>
      <c r="F33" s="39"/>
      <c r="G33" s="13" t="s">
        <v>2</v>
      </c>
    </row>
    <row r="34" spans="1:7" ht="15" thickBot="1" x14ac:dyDescent="0.35">
      <c r="A34" s="30" t="s">
        <v>45</v>
      </c>
      <c r="B34" s="36" t="s">
        <v>138</v>
      </c>
      <c r="C34" s="32" t="s">
        <v>109</v>
      </c>
      <c r="D34" s="14">
        <f>0.7</f>
        <v>0.7</v>
      </c>
      <c r="E34" s="46" t="s">
        <v>2</v>
      </c>
      <c r="F34" s="41"/>
      <c r="G34" s="34" t="s">
        <v>2</v>
      </c>
    </row>
    <row r="35" spans="1:7" ht="15.6" thickTop="1" thickBot="1" x14ac:dyDescent="0.35">
      <c r="A35" s="66" t="s">
        <v>141</v>
      </c>
      <c r="B35" s="59"/>
      <c r="C35" s="59"/>
      <c r="D35" s="59"/>
      <c r="E35" s="59"/>
      <c r="F35" s="42"/>
      <c r="G35" s="29"/>
    </row>
    <row r="36" spans="1:7" ht="15" thickTop="1" x14ac:dyDescent="0.3">
      <c r="A36" s="23" t="s">
        <v>46</v>
      </c>
      <c r="B36" s="35" t="s">
        <v>99</v>
      </c>
      <c r="C36" s="25"/>
      <c r="D36" s="43"/>
      <c r="E36" s="44"/>
      <c r="F36" s="38"/>
      <c r="G36" s="22"/>
    </row>
    <row r="37" spans="1:7" x14ac:dyDescent="0.3">
      <c r="A37" s="4" t="s">
        <v>47</v>
      </c>
      <c r="B37" s="7" t="s">
        <v>120</v>
      </c>
      <c r="C37" s="5" t="s">
        <v>142</v>
      </c>
      <c r="D37" s="12">
        <f>C7-0.1</f>
        <v>8.9</v>
      </c>
      <c r="E37" s="45" t="s">
        <v>2</v>
      </c>
      <c r="F37" s="39"/>
      <c r="G37" s="13" t="s">
        <v>2</v>
      </c>
    </row>
    <row r="38" spans="1:7" x14ac:dyDescent="0.3">
      <c r="A38" s="4" t="s">
        <v>48</v>
      </c>
      <c r="B38" s="7" t="s">
        <v>121</v>
      </c>
      <c r="C38" s="5" t="s">
        <v>143</v>
      </c>
      <c r="D38" s="12">
        <f>C8-0.1</f>
        <v>9.9</v>
      </c>
      <c r="E38" s="45" t="s">
        <v>2</v>
      </c>
      <c r="F38" s="39"/>
      <c r="G38" s="13" t="s">
        <v>2</v>
      </c>
    </row>
    <row r="39" spans="1:7" x14ac:dyDescent="0.3">
      <c r="A39" s="23" t="s">
        <v>49</v>
      </c>
      <c r="B39" s="8" t="s">
        <v>106</v>
      </c>
      <c r="C39" s="5" t="s">
        <v>75</v>
      </c>
      <c r="D39" s="12">
        <f>0.5</f>
        <v>0.5</v>
      </c>
      <c r="E39" s="45" t="s">
        <v>2</v>
      </c>
      <c r="F39" s="39"/>
      <c r="G39" s="13" t="s">
        <v>2</v>
      </c>
    </row>
    <row r="40" spans="1:7" ht="15.6" x14ac:dyDescent="0.35">
      <c r="A40" s="4" t="s">
        <v>50</v>
      </c>
      <c r="B40" s="8" t="s">
        <v>144</v>
      </c>
      <c r="C40" s="5" t="s">
        <v>19</v>
      </c>
      <c r="D40" s="12">
        <f>0.6</f>
        <v>0.6</v>
      </c>
      <c r="E40" s="45" t="s">
        <v>2</v>
      </c>
      <c r="F40" s="39"/>
      <c r="G40" s="13" t="s">
        <v>2</v>
      </c>
    </row>
    <row r="41" spans="1:7" x14ac:dyDescent="0.3">
      <c r="A41" s="4" t="s">
        <v>92</v>
      </c>
      <c r="B41" s="8" t="s">
        <v>145</v>
      </c>
      <c r="C41" s="5" t="s">
        <v>71</v>
      </c>
      <c r="D41" s="12">
        <f>2.3</f>
        <v>2.2999999999999998</v>
      </c>
      <c r="E41" s="45" t="s">
        <v>2</v>
      </c>
      <c r="F41" s="39"/>
      <c r="G41" s="13" t="s">
        <v>2</v>
      </c>
    </row>
    <row r="42" spans="1:7" ht="15.6" x14ac:dyDescent="0.35">
      <c r="A42" s="23" t="s">
        <v>93</v>
      </c>
      <c r="B42" s="8" t="s">
        <v>146</v>
      </c>
      <c r="C42" s="5" t="s">
        <v>152</v>
      </c>
      <c r="D42" s="12">
        <f>2.7</f>
        <v>2.7</v>
      </c>
      <c r="E42" s="45" t="s">
        <v>2</v>
      </c>
      <c r="F42" s="39"/>
      <c r="G42" s="13" t="s">
        <v>2</v>
      </c>
    </row>
    <row r="43" spans="1:7" ht="15.6" x14ac:dyDescent="0.35">
      <c r="A43" s="4" t="s">
        <v>94</v>
      </c>
      <c r="B43" s="7" t="s">
        <v>150</v>
      </c>
      <c r="C43" s="1" t="s">
        <v>151</v>
      </c>
      <c r="D43" s="12">
        <f>3</f>
        <v>3</v>
      </c>
      <c r="E43" s="45" t="s">
        <v>2</v>
      </c>
      <c r="F43" s="39"/>
      <c r="G43" s="13" t="s">
        <v>2</v>
      </c>
    </row>
    <row r="44" spans="1:7" x14ac:dyDescent="0.3">
      <c r="A44" s="4" t="s">
        <v>95</v>
      </c>
      <c r="B44" s="8" t="s">
        <v>147</v>
      </c>
      <c r="C44" s="5" t="s">
        <v>148</v>
      </c>
      <c r="D44" s="12">
        <f>9.5</f>
        <v>9.5</v>
      </c>
      <c r="E44" s="45" t="s">
        <v>2</v>
      </c>
      <c r="F44" s="39"/>
      <c r="G44" s="13" t="s">
        <v>2</v>
      </c>
    </row>
    <row r="45" spans="1:7" ht="15" thickBot="1" x14ac:dyDescent="0.35">
      <c r="A45" s="37" t="s">
        <v>96</v>
      </c>
      <c r="B45" s="10" t="s">
        <v>149</v>
      </c>
      <c r="C45" s="11" t="s">
        <v>89</v>
      </c>
      <c r="D45" s="14">
        <f>1</f>
        <v>1</v>
      </c>
      <c r="E45" s="46" t="s">
        <v>2</v>
      </c>
      <c r="F45" s="40"/>
      <c r="G45" s="15" t="s">
        <v>2</v>
      </c>
    </row>
    <row r="46" spans="1:7" ht="15" thickTop="1" x14ac:dyDescent="0.3">
      <c r="B46" s="2"/>
    </row>
    <row r="47" spans="1:7" x14ac:dyDescent="0.3">
      <c r="B47" s="2"/>
    </row>
    <row r="48" spans="1:7" x14ac:dyDescent="0.3">
      <c r="B48" s="2"/>
    </row>
    <row r="49" spans="2:2" x14ac:dyDescent="0.3">
      <c r="B49" s="2"/>
    </row>
    <row r="50" spans="2:2" x14ac:dyDescent="0.3">
      <c r="B50" s="2"/>
    </row>
    <row r="51" spans="2:2" x14ac:dyDescent="0.3">
      <c r="B51" s="2"/>
    </row>
    <row r="52" spans="2:2" x14ac:dyDescent="0.3">
      <c r="B52" s="2"/>
    </row>
    <row r="53" spans="2:2" x14ac:dyDescent="0.3">
      <c r="B53" s="2"/>
    </row>
    <row r="54" spans="2:2" x14ac:dyDescent="0.3">
      <c r="B54" s="2"/>
    </row>
    <row r="55" spans="2:2" x14ac:dyDescent="0.3">
      <c r="B55" s="2"/>
    </row>
    <row r="56" spans="2:2" x14ac:dyDescent="0.3">
      <c r="B56" s="2"/>
    </row>
    <row r="57" spans="2:2" x14ac:dyDescent="0.3">
      <c r="B57" s="2"/>
    </row>
    <row r="58" spans="2:2" x14ac:dyDescent="0.3">
      <c r="B58" s="2"/>
    </row>
    <row r="59" spans="2:2" x14ac:dyDescent="0.3">
      <c r="B59" s="2"/>
    </row>
    <row r="60" spans="2:2" x14ac:dyDescent="0.3">
      <c r="B60" s="2"/>
    </row>
    <row r="61" spans="2:2" x14ac:dyDescent="0.3">
      <c r="B61" s="2"/>
    </row>
  </sheetData>
  <mergeCells count="6">
    <mergeCell ref="F10:G10"/>
    <mergeCell ref="B3:D3"/>
    <mergeCell ref="A21:E21"/>
    <mergeCell ref="A11:E11"/>
    <mergeCell ref="A35:E35"/>
    <mergeCell ref="D10:E10"/>
  </mergeCells>
  <phoneticPr fontId="3" type="noConversion"/>
  <pageMargins left="0.7" right="0.7" top="0.78740157499999996" bottom="0.78740157499999996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8BA5A-5CB1-4CF3-B6F5-5AB079C037A5}">
  <dimension ref="A3:G62"/>
  <sheetViews>
    <sheetView topLeftCell="A15" workbookViewId="0">
      <selection activeCell="A4" sqref="A4:G37"/>
    </sheetView>
  </sheetViews>
  <sheetFormatPr defaultRowHeight="14.4" x14ac:dyDescent="0.3"/>
  <cols>
    <col min="1" max="1" width="8.88671875" style="1"/>
    <col min="2" max="2" width="19.21875" style="1" customWidth="1"/>
    <col min="3" max="3" width="20.109375" style="1" customWidth="1"/>
    <col min="4" max="16384" width="8.88671875" style="1"/>
  </cols>
  <sheetData>
    <row r="3" spans="1:7" ht="15" thickBot="1" x14ac:dyDescent="0.35"/>
    <row r="4" spans="1:7" ht="15.6" thickTop="1" thickBot="1" x14ac:dyDescent="0.35">
      <c r="B4" s="55" t="s">
        <v>0</v>
      </c>
      <c r="C4" s="56"/>
      <c r="D4" s="57"/>
    </row>
    <row r="5" spans="1:7" ht="15" thickTop="1" x14ac:dyDescent="0.3">
      <c r="B5" s="20" t="s">
        <v>164</v>
      </c>
      <c r="C5" s="21">
        <v>41.8</v>
      </c>
      <c r="D5" s="22" t="s">
        <v>2</v>
      </c>
    </row>
    <row r="6" spans="1:7" x14ac:dyDescent="0.3">
      <c r="B6" s="16" t="s">
        <v>201</v>
      </c>
      <c r="C6" s="18">
        <v>92</v>
      </c>
      <c r="D6" s="13" t="s">
        <v>2</v>
      </c>
    </row>
    <row r="7" spans="1:7" x14ac:dyDescent="0.3">
      <c r="B7" s="16" t="s">
        <v>165</v>
      </c>
      <c r="C7" s="18">
        <v>36.6</v>
      </c>
      <c r="D7" s="22" t="s">
        <v>2</v>
      </c>
    </row>
    <row r="8" spans="1:7" x14ac:dyDescent="0.3">
      <c r="B8" s="16" t="s">
        <v>170</v>
      </c>
      <c r="C8" s="18">
        <v>34</v>
      </c>
      <c r="D8" s="13" t="s">
        <v>2</v>
      </c>
    </row>
    <row r="9" spans="1:7" x14ac:dyDescent="0.3">
      <c r="B9" s="16" t="s">
        <v>184</v>
      </c>
      <c r="C9" s="18">
        <v>12.4</v>
      </c>
      <c r="D9" s="22" t="s">
        <v>2</v>
      </c>
    </row>
    <row r="10" spans="1:7" ht="15" thickBot="1" x14ac:dyDescent="0.35">
      <c r="B10" s="17" t="s">
        <v>195</v>
      </c>
      <c r="C10" s="19">
        <v>19</v>
      </c>
      <c r="D10" s="15" t="s">
        <v>2</v>
      </c>
    </row>
    <row r="11" spans="1:7" ht="15.6" thickTop="1" thickBot="1" x14ac:dyDescent="0.35"/>
    <row r="12" spans="1:7" ht="15.6" thickTop="1" thickBot="1" x14ac:dyDescent="0.35">
      <c r="A12" s="27" t="s">
        <v>3</v>
      </c>
      <c r="B12" s="28" t="s">
        <v>4</v>
      </c>
      <c r="C12" s="28" t="s">
        <v>18</v>
      </c>
      <c r="D12" s="58" t="s">
        <v>153</v>
      </c>
      <c r="E12" s="59"/>
      <c r="F12" s="58" t="s">
        <v>154</v>
      </c>
      <c r="G12" s="60"/>
    </row>
    <row r="13" spans="1:7" ht="15" thickTop="1" x14ac:dyDescent="0.3">
      <c r="A13" s="23" t="s">
        <v>24</v>
      </c>
      <c r="B13" s="24" t="s">
        <v>155</v>
      </c>
      <c r="C13" s="25"/>
      <c r="D13" s="26"/>
      <c r="E13" s="38"/>
      <c r="F13" s="26"/>
      <c r="G13" s="22"/>
    </row>
    <row r="14" spans="1:7" x14ac:dyDescent="0.3">
      <c r="A14" s="4" t="s">
        <v>25</v>
      </c>
      <c r="B14" s="6" t="s">
        <v>156</v>
      </c>
      <c r="C14" s="5" t="s">
        <v>158</v>
      </c>
      <c r="D14" s="12">
        <f>C5+2</f>
        <v>43.8</v>
      </c>
      <c r="E14" s="39" t="s">
        <v>2</v>
      </c>
      <c r="F14" s="12">
        <f>C5</f>
        <v>41.8</v>
      </c>
      <c r="G14" s="13" t="s">
        <v>2</v>
      </c>
    </row>
    <row r="15" spans="1:7" x14ac:dyDescent="0.3">
      <c r="A15" s="4" t="s">
        <v>26</v>
      </c>
      <c r="B15" s="6" t="s">
        <v>157</v>
      </c>
      <c r="C15" s="5" t="s">
        <v>202</v>
      </c>
      <c r="D15" s="12">
        <f>0.5*C6+0.5</f>
        <v>46.5</v>
      </c>
      <c r="E15" s="39" t="s">
        <v>2</v>
      </c>
      <c r="F15" s="12">
        <f>0.5*C6</f>
        <v>46</v>
      </c>
      <c r="G15" s="13" t="s">
        <v>2</v>
      </c>
    </row>
    <row r="16" spans="1:7" x14ac:dyDescent="0.3">
      <c r="A16" s="4" t="s">
        <v>27</v>
      </c>
      <c r="B16" s="6" t="s">
        <v>159</v>
      </c>
      <c r="C16" s="5" t="s">
        <v>151</v>
      </c>
      <c r="D16" s="12">
        <f>3</f>
        <v>3</v>
      </c>
      <c r="E16" s="39" t="s">
        <v>2</v>
      </c>
      <c r="F16" s="12">
        <f>3</f>
        <v>3</v>
      </c>
      <c r="G16" s="13" t="s">
        <v>2</v>
      </c>
    </row>
    <row r="17" spans="1:7" x14ac:dyDescent="0.3">
      <c r="A17" s="4" t="s">
        <v>28</v>
      </c>
      <c r="B17" s="8" t="s">
        <v>160</v>
      </c>
      <c r="C17" s="5" t="s">
        <v>161</v>
      </c>
      <c r="D17" s="12">
        <f>0.5*(D14-D16)+4</f>
        <v>24.4</v>
      </c>
      <c r="E17" s="39" t="s">
        <v>2</v>
      </c>
      <c r="F17" s="12">
        <f>0.5*(F14-F16)+4</f>
        <v>23.4</v>
      </c>
      <c r="G17" s="13" t="s">
        <v>2</v>
      </c>
    </row>
    <row r="18" spans="1:7" x14ac:dyDescent="0.3">
      <c r="A18" s="4" t="s">
        <v>29</v>
      </c>
      <c r="B18" s="6" t="s">
        <v>12</v>
      </c>
      <c r="C18" s="5" t="s">
        <v>151</v>
      </c>
      <c r="D18" s="12">
        <f>3</f>
        <v>3</v>
      </c>
      <c r="E18" s="39" t="s">
        <v>2</v>
      </c>
      <c r="F18" s="12">
        <f>3</f>
        <v>3</v>
      </c>
      <c r="G18" s="13" t="s">
        <v>2</v>
      </c>
    </row>
    <row r="19" spans="1:7" x14ac:dyDescent="0.3">
      <c r="A19" s="4" t="s">
        <v>30</v>
      </c>
      <c r="B19" s="6" t="s">
        <v>162</v>
      </c>
      <c r="C19" s="5" t="s">
        <v>163</v>
      </c>
      <c r="D19" s="12"/>
      <c r="E19" s="39" t="s">
        <v>2</v>
      </c>
      <c r="F19" s="12"/>
      <c r="G19" s="13" t="s">
        <v>2</v>
      </c>
    </row>
    <row r="20" spans="1:7" x14ac:dyDescent="0.3">
      <c r="A20" s="4" t="s">
        <v>31</v>
      </c>
      <c r="B20" s="6" t="s">
        <v>166</v>
      </c>
      <c r="C20" s="5" t="s">
        <v>167</v>
      </c>
      <c r="D20" s="12">
        <f>0.2*C7-0.2</f>
        <v>7.12</v>
      </c>
      <c r="E20" s="39" t="s">
        <v>2</v>
      </c>
      <c r="F20" s="12">
        <f>0.2*C7-0.2</f>
        <v>7.12</v>
      </c>
      <c r="G20" s="13" t="s">
        <v>2</v>
      </c>
    </row>
    <row r="21" spans="1:7" x14ac:dyDescent="0.3">
      <c r="A21" s="4" t="s">
        <v>32</v>
      </c>
      <c r="B21" s="6" t="s">
        <v>168</v>
      </c>
      <c r="C21" s="5" t="s">
        <v>172</v>
      </c>
      <c r="D21" s="12">
        <f>0.2*C7-1.6</f>
        <v>5.7200000000000006</v>
      </c>
      <c r="E21" s="39" t="s">
        <v>2</v>
      </c>
      <c r="F21" s="12">
        <f>0.2*C7-1.6</f>
        <v>5.7200000000000006</v>
      </c>
      <c r="G21" s="13" t="s">
        <v>2</v>
      </c>
    </row>
    <row r="22" spans="1:7" x14ac:dyDescent="0.3">
      <c r="A22" s="4" t="s">
        <v>33</v>
      </c>
      <c r="B22" s="6" t="s">
        <v>169</v>
      </c>
      <c r="C22" s="5" t="s">
        <v>173</v>
      </c>
      <c r="D22" s="12">
        <f>0.2*C7+0.2</f>
        <v>7.5200000000000005</v>
      </c>
      <c r="E22" s="39" t="s">
        <v>2</v>
      </c>
      <c r="F22" s="12">
        <f>0.2*C7+0.2</f>
        <v>7.5200000000000005</v>
      </c>
      <c r="G22" s="13" t="s">
        <v>2</v>
      </c>
    </row>
    <row r="23" spans="1:7" x14ac:dyDescent="0.3">
      <c r="A23" s="4" t="s">
        <v>34</v>
      </c>
      <c r="B23" s="6" t="s">
        <v>171</v>
      </c>
      <c r="C23" s="5" t="s">
        <v>174</v>
      </c>
      <c r="D23" s="12">
        <f>0.5*C8</f>
        <v>17</v>
      </c>
      <c r="E23" s="39" t="s">
        <v>2</v>
      </c>
      <c r="F23" s="12">
        <f>0.5*C8</f>
        <v>17</v>
      </c>
      <c r="G23" s="13" t="s">
        <v>2</v>
      </c>
    </row>
    <row r="24" spans="1:7" x14ac:dyDescent="0.3">
      <c r="A24" s="4" t="s">
        <v>35</v>
      </c>
      <c r="B24" s="6" t="s">
        <v>175</v>
      </c>
      <c r="C24" s="5" t="s">
        <v>176</v>
      </c>
      <c r="D24" s="12"/>
      <c r="E24" s="39" t="s">
        <v>2</v>
      </c>
      <c r="F24" s="12"/>
      <c r="G24" s="13" t="s">
        <v>2</v>
      </c>
    </row>
    <row r="25" spans="1:7" x14ac:dyDescent="0.3">
      <c r="A25" s="4" t="s">
        <v>36</v>
      </c>
      <c r="B25" s="6" t="s">
        <v>177</v>
      </c>
      <c r="C25" s="5" t="s">
        <v>183</v>
      </c>
      <c r="D25" s="12">
        <f>0.5*C8+2.4</f>
        <v>19.399999999999999</v>
      </c>
      <c r="E25" s="39" t="s">
        <v>2</v>
      </c>
      <c r="F25" s="12">
        <f>0.5*C8+0.5</f>
        <v>17.5</v>
      </c>
      <c r="G25" s="13" t="s">
        <v>2</v>
      </c>
    </row>
    <row r="26" spans="1:7" x14ac:dyDescent="0.3">
      <c r="A26" s="4" t="s">
        <v>37</v>
      </c>
      <c r="B26" s="6" t="s">
        <v>178</v>
      </c>
      <c r="C26" s="5" t="s">
        <v>185</v>
      </c>
      <c r="D26" s="12">
        <f>0.5*C9+0.5</f>
        <v>6.7</v>
      </c>
      <c r="E26" s="39" t="s">
        <v>2</v>
      </c>
      <c r="F26" s="12">
        <f>0.5*C9</f>
        <v>6.2</v>
      </c>
      <c r="G26" s="13" t="s">
        <v>2</v>
      </c>
    </row>
    <row r="27" spans="1:7" x14ac:dyDescent="0.3">
      <c r="A27" s="4" t="s">
        <v>38</v>
      </c>
      <c r="B27" s="6" t="s">
        <v>179</v>
      </c>
      <c r="C27" s="5" t="s">
        <v>186</v>
      </c>
      <c r="D27" s="12">
        <f>1.4</f>
        <v>1.4</v>
      </c>
      <c r="E27" s="39" t="s">
        <v>2</v>
      </c>
      <c r="F27" s="12">
        <f>1.4</f>
        <v>1.4</v>
      </c>
      <c r="G27" s="13" t="s">
        <v>2</v>
      </c>
    </row>
    <row r="28" spans="1:7" x14ac:dyDescent="0.3">
      <c r="A28" s="4" t="s">
        <v>39</v>
      </c>
      <c r="B28" s="6" t="s">
        <v>180</v>
      </c>
      <c r="C28" s="5" t="s">
        <v>187</v>
      </c>
      <c r="D28" s="12">
        <f>6</f>
        <v>6</v>
      </c>
      <c r="E28" s="39" t="s">
        <v>2</v>
      </c>
      <c r="F28" s="12">
        <f>6</f>
        <v>6</v>
      </c>
      <c r="G28" s="13" t="s">
        <v>2</v>
      </c>
    </row>
    <row r="29" spans="1:7" x14ac:dyDescent="0.3">
      <c r="A29" s="4" t="s">
        <v>40</v>
      </c>
      <c r="B29" s="6" t="s">
        <v>181</v>
      </c>
      <c r="C29" s="5" t="s">
        <v>188</v>
      </c>
      <c r="D29" s="12"/>
      <c r="E29" s="39" t="s">
        <v>2</v>
      </c>
      <c r="F29" s="12"/>
      <c r="G29" s="13" t="s">
        <v>2</v>
      </c>
    </row>
    <row r="30" spans="1:7" x14ac:dyDescent="0.3">
      <c r="A30" s="4" t="s">
        <v>41</v>
      </c>
      <c r="B30" s="6" t="s">
        <v>182</v>
      </c>
      <c r="C30" s="5" t="s">
        <v>189</v>
      </c>
      <c r="D30" s="12">
        <f>0.5*C8+2.2</f>
        <v>19.2</v>
      </c>
      <c r="E30" s="39" t="s">
        <v>2</v>
      </c>
      <c r="F30" s="12">
        <f>0.5*C8</f>
        <v>17</v>
      </c>
      <c r="G30" s="13" t="s">
        <v>2</v>
      </c>
    </row>
    <row r="31" spans="1:7" x14ac:dyDescent="0.3">
      <c r="A31" s="4" t="s">
        <v>42</v>
      </c>
      <c r="B31" s="6" t="s">
        <v>190</v>
      </c>
      <c r="C31" s="5" t="s">
        <v>191</v>
      </c>
      <c r="D31" s="12">
        <f>D30+4.3</f>
        <v>23.5</v>
      </c>
      <c r="E31" s="39" t="s">
        <v>2</v>
      </c>
      <c r="F31" s="12">
        <f>F30+4.3</f>
        <v>21.3</v>
      </c>
      <c r="G31" s="13" t="s">
        <v>2</v>
      </c>
    </row>
    <row r="32" spans="1:7" x14ac:dyDescent="0.3">
      <c r="A32" s="4" t="s">
        <v>43</v>
      </c>
      <c r="B32" s="6" t="s">
        <v>72</v>
      </c>
      <c r="C32" s="5" t="s">
        <v>192</v>
      </c>
      <c r="D32" s="12">
        <f>0.3</f>
        <v>0.3</v>
      </c>
      <c r="E32" s="39" t="s">
        <v>2</v>
      </c>
      <c r="F32" s="12">
        <f>0.3</f>
        <v>0.3</v>
      </c>
      <c r="G32" s="13" t="s">
        <v>2</v>
      </c>
    </row>
    <row r="33" spans="1:7" x14ac:dyDescent="0.3">
      <c r="A33" s="4" t="s">
        <v>44</v>
      </c>
      <c r="B33" s="6" t="s">
        <v>193</v>
      </c>
      <c r="C33" s="5" t="s">
        <v>194</v>
      </c>
      <c r="D33" s="12">
        <f>0.5*C10</f>
        <v>9.5</v>
      </c>
      <c r="E33" s="39" t="s">
        <v>2</v>
      </c>
      <c r="F33" s="12">
        <f>0.5*C10</f>
        <v>9.5</v>
      </c>
      <c r="G33" s="13" t="s">
        <v>2</v>
      </c>
    </row>
    <row r="34" spans="1:7" x14ac:dyDescent="0.3">
      <c r="A34" s="4" t="s">
        <v>45</v>
      </c>
      <c r="B34" s="6" t="s">
        <v>196</v>
      </c>
      <c r="C34" s="5" t="s">
        <v>197</v>
      </c>
      <c r="D34" s="12">
        <f>D26</f>
        <v>6.7</v>
      </c>
      <c r="E34" s="39" t="s">
        <v>2</v>
      </c>
      <c r="F34" s="12">
        <f>F26</f>
        <v>6.2</v>
      </c>
      <c r="G34" s="13" t="s">
        <v>2</v>
      </c>
    </row>
    <row r="35" spans="1:7" x14ac:dyDescent="0.3">
      <c r="A35" s="4" t="s">
        <v>46</v>
      </c>
      <c r="B35" s="8" t="s">
        <v>198</v>
      </c>
      <c r="C35" s="5" t="s">
        <v>203</v>
      </c>
      <c r="D35" s="12">
        <f>0.125*(0.5*C6-0.3)</f>
        <v>5.7125000000000004</v>
      </c>
      <c r="E35" s="39" t="s">
        <v>2</v>
      </c>
      <c r="F35" s="12">
        <f>0.125*(0.5*C6)</f>
        <v>5.75</v>
      </c>
      <c r="G35" s="13" t="s">
        <v>2</v>
      </c>
    </row>
    <row r="36" spans="1:7" x14ac:dyDescent="0.3">
      <c r="A36" s="4" t="s">
        <v>47</v>
      </c>
      <c r="B36" s="7">
        <v>25</v>
      </c>
      <c r="C36" s="5" t="s">
        <v>199</v>
      </c>
      <c r="D36" s="12">
        <f>0.5*D15</f>
        <v>23.25</v>
      </c>
      <c r="E36" s="39" t="s">
        <v>2</v>
      </c>
      <c r="F36" s="12">
        <f>0.5*F15</f>
        <v>23</v>
      </c>
      <c r="G36" s="13" t="s">
        <v>2</v>
      </c>
    </row>
    <row r="37" spans="1:7" ht="15" thickBot="1" x14ac:dyDescent="0.35">
      <c r="A37" s="9" t="s">
        <v>48</v>
      </c>
      <c r="B37" s="52" t="s">
        <v>200</v>
      </c>
      <c r="C37" s="11" t="s">
        <v>112</v>
      </c>
      <c r="D37" s="14">
        <f>1.3</f>
        <v>1.3</v>
      </c>
      <c r="E37" s="40" t="s">
        <v>2</v>
      </c>
      <c r="F37" s="14">
        <f>1.3</f>
        <v>1.3</v>
      </c>
      <c r="G37" s="15" t="s">
        <v>2</v>
      </c>
    </row>
    <row r="38" spans="1:7" ht="15" thickTop="1" x14ac:dyDescent="0.3">
      <c r="B38" s="49"/>
      <c r="D38" s="50"/>
      <c r="F38" s="50"/>
    </row>
    <row r="39" spans="1:7" x14ac:dyDescent="0.3">
      <c r="B39" s="49"/>
      <c r="D39" s="50"/>
      <c r="F39" s="50"/>
    </row>
    <row r="40" spans="1:7" x14ac:dyDescent="0.3">
      <c r="B40" s="51"/>
      <c r="D40" s="50"/>
      <c r="F40" s="50"/>
    </row>
    <row r="41" spans="1:7" x14ac:dyDescent="0.3">
      <c r="B41" s="51"/>
      <c r="D41" s="50"/>
      <c r="F41" s="50"/>
    </row>
    <row r="42" spans="1:7" x14ac:dyDescent="0.3">
      <c r="B42" s="51"/>
      <c r="D42" s="50"/>
      <c r="F42" s="50"/>
    </row>
    <row r="43" spans="1:7" x14ac:dyDescent="0.3">
      <c r="B43" s="51"/>
      <c r="D43" s="50"/>
      <c r="F43" s="50"/>
    </row>
    <row r="44" spans="1:7" x14ac:dyDescent="0.3">
      <c r="B44" s="51"/>
      <c r="D44" s="50"/>
      <c r="F44" s="50"/>
    </row>
    <row r="45" spans="1:7" x14ac:dyDescent="0.3">
      <c r="B45" s="51"/>
      <c r="D45" s="50"/>
      <c r="F45" s="50"/>
    </row>
    <row r="46" spans="1:7" x14ac:dyDescent="0.3">
      <c r="B46" s="51"/>
      <c r="D46" s="50"/>
      <c r="F46" s="50"/>
    </row>
    <row r="47" spans="1:7" x14ac:dyDescent="0.3">
      <c r="B47" s="2"/>
    </row>
    <row r="48" spans="1:7" x14ac:dyDescent="0.3">
      <c r="B48" s="2"/>
    </row>
    <row r="49" spans="2:2" x14ac:dyDescent="0.3">
      <c r="B49" s="2"/>
    </row>
    <row r="50" spans="2:2" x14ac:dyDescent="0.3">
      <c r="B50" s="2"/>
    </row>
    <row r="51" spans="2:2" x14ac:dyDescent="0.3">
      <c r="B51" s="2"/>
    </row>
    <row r="52" spans="2:2" x14ac:dyDescent="0.3">
      <c r="B52" s="2"/>
    </row>
    <row r="53" spans="2:2" x14ac:dyDescent="0.3">
      <c r="B53" s="2"/>
    </row>
    <row r="54" spans="2:2" x14ac:dyDescent="0.3">
      <c r="B54" s="2"/>
    </row>
    <row r="55" spans="2:2" x14ac:dyDescent="0.3">
      <c r="B55" s="2"/>
    </row>
    <row r="56" spans="2:2" x14ac:dyDescent="0.3">
      <c r="B56" s="2"/>
    </row>
    <row r="57" spans="2:2" x14ac:dyDescent="0.3">
      <c r="B57" s="2"/>
    </row>
    <row r="58" spans="2:2" x14ac:dyDescent="0.3">
      <c r="B58" s="2"/>
    </row>
    <row r="59" spans="2:2" x14ac:dyDescent="0.3">
      <c r="B59" s="2"/>
    </row>
    <row r="60" spans="2:2" x14ac:dyDescent="0.3">
      <c r="B60" s="2"/>
    </row>
    <row r="61" spans="2:2" x14ac:dyDescent="0.3">
      <c r="B61" s="2"/>
    </row>
    <row r="62" spans="2:2" x14ac:dyDescent="0.3">
      <c r="B62" s="2"/>
    </row>
  </sheetData>
  <mergeCells count="3">
    <mergeCell ref="B4:D4"/>
    <mergeCell ref="D12:E12"/>
    <mergeCell ref="F12:G12"/>
  </mergeCells>
  <pageMargins left="0.7" right="0.7" top="0.78740157499999996" bottom="0.78740157499999996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7062D-5149-44AB-981F-C24B1D3E4CED}">
  <dimension ref="A3:G67"/>
  <sheetViews>
    <sheetView topLeftCell="A10" workbookViewId="0">
      <selection activeCell="J50" sqref="J50"/>
    </sheetView>
  </sheetViews>
  <sheetFormatPr defaultRowHeight="14.4" x14ac:dyDescent="0.3"/>
  <cols>
    <col min="1" max="1" width="8.88671875" style="1"/>
    <col min="2" max="2" width="19.21875" style="1" customWidth="1"/>
    <col min="3" max="3" width="22.77734375" style="1" customWidth="1"/>
    <col min="4" max="16384" width="8.88671875" style="1"/>
  </cols>
  <sheetData>
    <row r="3" spans="2:4" ht="15" thickBot="1" x14ac:dyDescent="0.35"/>
    <row r="4" spans="2:4" ht="15.6" thickTop="1" thickBot="1" x14ac:dyDescent="0.35">
      <c r="B4" s="55" t="s">
        <v>0</v>
      </c>
      <c r="C4" s="56"/>
      <c r="D4" s="57"/>
    </row>
    <row r="5" spans="2:4" ht="15" thickTop="1" x14ac:dyDescent="0.3">
      <c r="B5" s="20" t="s">
        <v>1</v>
      </c>
      <c r="C5" s="21">
        <v>46</v>
      </c>
      <c r="D5" s="22" t="s">
        <v>2</v>
      </c>
    </row>
    <row r="6" spans="2:4" x14ac:dyDescent="0.3">
      <c r="B6" s="16" t="s">
        <v>205</v>
      </c>
      <c r="C6" s="18">
        <v>169</v>
      </c>
      <c r="D6" s="13" t="s">
        <v>2</v>
      </c>
    </row>
    <row r="7" spans="2:4" x14ac:dyDescent="0.3">
      <c r="B7" s="16" t="s">
        <v>164</v>
      </c>
      <c r="C7" s="18">
        <v>44.3</v>
      </c>
      <c r="D7" s="22" t="s">
        <v>2</v>
      </c>
    </row>
    <row r="8" spans="2:4" x14ac:dyDescent="0.3">
      <c r="B8" s="16" t="s">
        <v>170</v>
      </c>
      <c r="C8" s="18">
        <v>39.9</v>
      </c>
      <c r="D8" s="13" t="s">
        <v>2</v>
      </c>
    </row>
    <row r="9" spans="2:4" x14ac:dyDescent="0.3">
      <c r="B9" s="16" t="s">
        <v>201</v>
      </c>
      <c r="C9" s="18">
        <v>92</v>
      </c>
      <c r="D9" s="22" t="s">
        <v>2</v>
      </c>
    </row>
    <row r="10" spans="2:4" x14ac:dyDescent="0.3">
      <c r="B10" s="16" t="s">
        <v>264</v>
      </c>
      <c r="C10" s="18">
        <v>96</v>
      </c>
      <c r="D10" s="22" t="s">
        <v>2</v>
      </c>
    </row>
    <row r="11" spans="2:4" x14ac:dyDescent="0.3">
      <c r="B11" s="16" t="s">
        <v>206</v>
      </c>
      <c r="C11" s="18">
        <v>76</v>
      </c>
      <c r="D11" s="22" t="s">
        <v>2</v>
      </c>
    </row>
    <row r="12" spans="2:4" x14ac:dyDescent="0.3">
      <c r="B12" s="53" t="s">
        <v>237</v>
      </c>
      <c r="C12" s="54">
        <v>46.3</v>
      </c>
      <c r="D12" s="48" t="s">
        <v>2</v>
      </c>
    </row>
    <row r="13" spans="2:4" x14ac:dyDescent="0.3">
      <c r="B13" s="16" t="s">
        <v>207</v>
      </c>
      <c r="C13" s="18">
        <v>41.9</v>
      </c>
      <c r="D13" s="13" t="s">
        <v>2</v>
      </c>
    </row>
    <row r="14" spans="2:4" x14ac:dyDescent="0.3">
      <c r="B14" s="16" t="s">
        <v>239</v>
      </c>
      <c r="C14" s="39">
        <v>27.5</v>
      </c>
      <c r="D14" s="13" t="s">
        <v>2</v>
      </c>
    </row>
    <row r="15" spans="2:4" ht="15" thickBot="1" x14ac:dyDescent="0.35">
      <c r="B15" s="17" t="s">
        <v>240</v>
      </c>
      <c r="C15" s="40">
        <v>20</v>
      </c>
      <c r="D15" s="15" t="s">
        <v>2</v>
      </c>
    </row>
    <row r="16" spans="2:4" ht="15.6" thickTop="1" thickBot="1" x14ac:dyDescent="0.35"/>
    <row r="17" spans="1:7" ht="15.6" thickTop="1" thickBot="1" x14ac:dyDescent="0.35">
      <c r="A17" s="27" t="s">
        <v>3</v>
      </c>
      <c r="B17" s="28" t="s">
        <v>4</v>
      </c>
      <c r="C17" s="28" t="s">
        <v>18</v>
      </c>
      <c r="D17" s="58" t="s">
        <v>153</v>
      </c>
      <c r="E17" s="59"/>
      <c r="F17" s="58" t="s">
        <v>154</v>
      </c>
      <c r="G17" s="60"/>
    </row>
    <row r="18" spans="1:7" ht="15.6" thickTop="1" thickBot="1" x14ac:dyDescent="0.35">
      <c r="A18" s="66" t="s">
        <v>214</v>
      </c>
      <c r="B18" s="59"/>
      <c r="C18" s="59"/>
      <c r="D18" s="59"/>
      <c r="E18" s="59"/>
      <c r="F18" s="59"/>
      <c r="G18" s="60"/>
    </row>
    <row r="19" spans="1:7" ht="15" thickTop="1" x14ac:dyDescent="0.3">
      <c r="A19" s="23" t="s">
        <v>24</v>
      </c>
      <c r="B19" s="24" t="s">
        <v>204</v>
      </c>
      <c r="C19" s="25"/>
      <c r="D19" s="26"/>
      <c r="E19" s="38"/>
      <c r="F19" s="26"/>
      <c r="G19" s="22"/>
    </row>
    <row r="20" spans="1:7" x14ac:dyDescent="0.3">
      <c r="A20" s="4" t="s">
        <v>25</v>
      </c>
      <c r="B20" s="6" t="s">
        <v>120</v>
      </c>
      <c r="C20" s="5" t="s">
        <v>216</v>
      </c>
      <c r="D20" s="12">
        <f>1/24 *(C5)+0.2</f>
        <v>2.1166666666666667</v>
      </c>
      <c r="E20" s="39" t="s">
        <v>2</v>
      </c>
      <c r="F20" s="12">
        <f>1/24*(C5)+0.2</f>
        <v>2.1166666666666667</v>
      </c>
      <c r="G20" s="13" t="s">
        <v>2</v>
      </c>
    </row>
    <row r="21" spans="1:7" ht="15.6" x14ac:dyDescent="0.3">
      <c r="A21" s="4" t="s">
        <v>26</v>
      </c>
      <c r="B21" s="6" t="s">
        <v>208</v>
      </c>
      <c r="C21" s="5" t="s">
        <v>217</v>
      </c>
      <c r="D21" s="12">
        <f>4.5</f>
        <v>4.5</v>
      </c>
      <c r="E21" s="39" t="s">
        <v>2</v>
      </c>
      <c r="F21" s="12">
        <f>4.5</f>
        <v>4.5</v>
      </c>
      <c r="G21" s="13" t="s">
        <v>2</v>
      </c>
    </row>
    <row r="22" spans="1:7" x14ac:dyDescent="0.3">
      <c r="A22" s="4" t="s">
        <v>27</v>
      </c>
      <c r="B22" s="6" t="s">
        <v>121</v>
      </c>
      <c r="C22" s="5" t="s">
        <v>223</v>
      </c>
      <c r="D22" s="12">
        <f>0.125*C6+1/24*(C5)-1</f>
        <v>22.041666666666668</v>
      </c>
      <c r="E22" s="39" t="s">
        <v>2</v>
      </c>
      <c r="F22" s="12">
        <f>0.125*C6+1/24*(C5)</f>
        <v>23.041666666666668</v>
      </c>
      <c r="G22" s="13" t="s">
        <v>2</v>
      </c>
    </row>
    <row r="23" spans="1:7" x14ac:dyDescent="0.3">
      <c r="A23" s="4" t="s">
        <v>28</v>
      </c>
      <c r="B23" s="8" t="s">
        <v>106</v>
      </c>
      <c r="C23" s="5" t="s">
        <v>224</v>
      </c>
      <c r="D23" s="12">
        <f>C7</f>
        <v>44.3</v>
      </c>
      <c r="E23" s="39" t="s">
        <v>2</v>
      </c>
      <c r="F23" s="12">
        <f>C7</f>
        <v>44.3</v>
      </c>
      <c r="G23" s="13" t="s">
        <v>2</v>
      </c>
    </row>
    <row r="24" spans="1:7" x14ac:dyDescent="0.3">
      <c r="A24" s="4" t="s">
        <v>29</v>
      </c>
      <c r="B24" s="6" t="s">
        <v>209</v>
      </c>
      <c r="C24" s="5" t="s">
        <v>225</v>
      </c>
      <c r="D24" s="12">
        <f>1/6*C5</f>
        <v>7.6666666666666661</v>
      </c>
      <c r="E24" s="39" t="s">
        <v>2</v>
      </c>
      <c r="F24" s="12">
        <f>1/6*C5</f>
        <v>7.6666666666666661</v>
      </c>
      <c r="G24" s="13" t="s">
        <v>2</v>
      </c>
    </row>
    <row r="25" spans="1:7" x14ac:dyDescent="0.3">
      <c r="A25" s="4" t="s">
        <v>30</v>
      </c>
      <c r="B25" s="6" t="s">
        <v>210</v>
      </c>
      <c r="C25" s="5" t="s">
        <v>174</v>
      </c>
      <c r="D25" s="12">
        <f>0.5*C8</f>
        <v>19.95</v>
      </c>
      <c r="E25" s="39" t="s">
        <v>2</v>
      </c>
      <c r="F25" s="12">
        <f>0.5*C8</f>
        <v>19.95</v>
      </c>
      <c r="G25" s="13" t="s">
        <v>2</v>
      </c>
    </row>
    <row r="26" spans="1:7" ht="15.6" x14ac:dyDescent="0.3">
      <c r="A26" s="4" t="s">
        <v>31</v>
      </c>
      <c r="B26" s="6" t="s">
        <v>144</v>
      </c>
      <c r="C26" s="5" t="s">
        <v>226</v>
      </c>
      <c r="D26" s="12">
        <f>0.25*C9-1</f>
        <v>22</v>
      </c>
      <c r="E26" s="39" t="s">
        <v>2</v>
      </c>
      <c r="F26" s="12">
        <f>0.25*C9-1</f>
        <v>22</v>
      </c>
      <c r="G26" s="13" t="s">
        <v>2</v>
      </c>
    </row>
    <row r="27" spans="1:7" ht="15.6" x14ac:dyDescent="0.3">
      <c r="A27" s="4" t="s">
        <v>32</v>
      </c>
      <c r="B27" s="6" t="s">
        <v>218</v>
      </c>
      <c r="C27" s="5" t="s">
        <v>227</v>
      </c>
      <c r="D27" s="12">
        <f>0.25*C11-1+3-2</f>
        <v>19</v>
      </c>
      <c r="E27" s="39" t="s">
        <v>2</v>
      </c>
      <c r="F27" s="12">
        <f>0.25*C11-1+3</f>
        <v>21</v>
      </c>
      <c r="G27" s="13" t="s">
        <v>2</v>
      </c>
    </row>
    <row r="28" spans="1:7" x14ac:dyDescent="0.3">
      <c r="A28" s="4" t="s">
        <v>33</v>
      </c>
      <c r="B28" s="6" t="s">
        <v>211</v>
      </c>
      <c r="C28" s="5" t="s">
        <v>217</v>
      </c>
      <c r="D28" s="12">
        <f>4.5</f>
        <v>4.5</v>
      </c>
      <c r="E28" s="39" t="s">
        <v>2</v>
      </c>
      <c r="F28" s="12">
        <f>4.5</f>
        <v>4.5</v>
      </c>
      <c r="G28" s="13" t="s">
        <v>2</v>
      </c>
    </row>
    <row r="29" spans="1:7" ht="15.6" x14ac:dyDescent="0.3">
      <c r="A29" s="4" t="s">
        <v>34</v>
      </c>
      <c r="B29" s="6" t="s">
        <v>219</v>
      </c>
      <c r="C29" s="5" t="s">
        <v>228</v>
      </c>
      <c r="D29" s="12">
        <f>0.5*C13</f>
        <v>20.95</v>
      </c>
      <c r="E29" s="39" t="s">
        <v>2</v>
      </c>
      <c r="F29" s="12">
        <f>0.5*C13</f>
        <v>20.95</v>
      </c>
      <c r="G29" s="13" t="s">
        <v>2</v>
      </c>
    </row>
    <row r="30" spans="1:7" x14ac:dyDescent="0.3">
      <c r="A30" s="4" t="s">
        <v>35</v>
      </c>
      <c r="B30" s="6" t="s">
        <v>212</v>
      </c>
      <c r="C30" s="5" t="s">
        <v>229</v>
      </c>
      <c r="D30" s="12">
        <f>5</f>
        <v>5</v>
      </c>
      <c r="E30" s="39" t="s">
        <v>2</v>
      </c>
      <c r="F30" s="12">
        <f>5</f>
        <v>5</v>
      </c>
      <c r="G30" s="13" t="s">
        <v>2</v>
      </c>
    </row>
    <row r="31" spans="1:7" ht="15.6" x14ac:dyDescent="0.35">
      <c r="A31" s="4" t="s">
        <v>36</v>
      </c>
      <c r="B31" s="6" t="s">
        <v>213</v>
      </c>
      <c r="C31" s="5" t="s">
        <v>230</v>
      </c>
      <c r="D31" s="12">
        <f>0.5*D27</f>
        <v>9.5</v>
      </c>
      <c r="E31" s="39" t="s">
        <v>2</v>
      </c>
      <c r="F31" s="12">
        <f>0.5*F27</f>
        <v>10.5</v>
      </c>
      <c r="G31" s="13" t="s">
        <v>2</v>
      </c>
    </row>
    <row r="32" spans="1:7" ht="15.6" x14ac:dyDescent="0.3">
      <c r="A32" s="4" t="s">
        <v>37</v>
      </c>
      <c r="B32" s="6" t="s">
        <v>220</v>
      </c>
      <c r="C32" s="5" t="s">
        <v>231</v>
      </c>
      <c r="D32" s="12">
        <f>-2</f>
        <v>-2</v>
      </c>
      <c r="E32" s="39" t="s">
        <v>2</v>
      </c>
      <c r="F32" s="12">
        <f>-2</f>
        <v>-2</v>
      </c>
      <c r="G32" s="13" t="s">
        <v>2</v>
      </c>
    </row>
    <row r="33" spans="1:7" ht="15.6" x14ac:dyDescent="0.3">
      <c r="A33" s="4" t="s">
        <v>38</v>
      </c>
      <c r="B33" s="6" t="s">
        <v>221</v>
      </c>
      <c r="C33" s="5" t="s">
        <v>232</v>
      </c>
      <c r="D33" s="12">
        <f>1.5</f>
        <v>1.5</v>
      </c>
      <c r="E33" s="39" t="s">
        <v>2</v>
      </c>
      <c r="F33" s="12">
        <f>1.5</f>
        <v>1.5</v>
      </c>
      <c r="G33" s="13" t="s">
        <v>2</v>
      </c>
    </row>
    <row r="34" spans="1:7" ht="16.2" thickBot="1" x14ac:dyDescent="0.35">
      <c r="A34" s="30" t="s">
        <v>39</v>
      </c>
      <c r="B34" s="31" t="s">
        <v>222</v>
      </c>
      <c r="C34" s="32" t="s">
        <v>232</v>
      </c>
      <c r="D34" s="33">
        <f>1.5</f>
        <v>1.5</v>
      </c>
      <c r="E34" s="41" t="s">
        <v>2</v>
      </c>
      <c r="F34" s="33">
        <f>1.5</f>
        <v>1.5</v>
      </c>
      <c r="G34" s="34" t="s">
        <v>2</v>
      </c>
    </row>
    <row r="35" spans="1:7" ht="15.6" thickTop="1" thickBot="1" x14ac:dyDescent="0.35">
      <c r="A35" s="66" t="s">
        <v>215</v>
      </c>
      <c r="B35" s="59"/>
      <c r="C35" s="59"/>
      <c r="D35" s="59"/>
      <c r="E35" s="59"/>
      <c r="F35" s="59"/>
      <c r="G35" s="60"/>
    </row>
    <row r="36" spans="1:7" ht="15" thickTop="1" x14ac:dyDescent="0.3">
      <c r="A36" s="23" t="s">
        <v>40</v>
      </c>
      <c r="B36" s="35" t="s">
        <v>233</v>
      </c>
      <c r="C36" s="25"/>
      <c r="D36" s="26"/>
      <c r="E36" s="38"/>
      <c r="F36" s="26"/>
      <c r="G36" s="22"/>
    </row>
    <row r="37" spans="1:7" x14ac:dyDescent="0.3">
      <c r="A37" s="4" t="s">
        <v>41</v>
      </c>
      <c r="B37" s="6" t="s">
        <v>234</v>
      </c>
      <c r="C37" s="5" t="s">
        <v>235</v>
      </c>
      <c r="D37" s="12">
        <f>(0.125*C6)+(1/24*C5)-1</f>
        <v>22.041666666666668</v>
      </c>
      <c r="E37" s="39" t="s">
        <v>2</v>
      </c>
      <c r="F37" s="12">
        <f>(0.125*C6)+(1/24*C5)</f>
        <v>23.041666666666668</v>
      </c>
      <c r="G37" s="13" t="s">
        <v>2</v>
      </c>
    </row>
    <row r="38" spans="1:7" x14ac:dyDescent="0.3">
      <c r="A38" s="4" t="s">
        <v>42</v>
      </c>
      <c r="B38" s="6" t="s">
        <v>236</v>
      </c>
      <c r="C38" s="5" t="s">
        <v>224</v>
      </c>
      <c r="D38" s="12">
        <f>C7</f>
        <v>44.3</v>
      </c>
      <c r="E38" s="39" t="s">
        <v>2</v>
      </c>
      <c r="F38" s="12">
        <f>C7</f>
        <v>44.3</v>
      </c>
      <c r="G38" s="13" t="s">
        <v>2</v>
      </c>
    </row>
    <row r="39" spans="1:7" ht="15.6" x14ac:dyDescent="0.3">
      <c r="A39" s="23" t="s">
        <v>43</v>
      </c>
      <c r="B39" s="6" t="s">
        <v>247</v>
      </c>
      <c r="C39" s="5" t="s">
        <v>246</v>
      </c>
      <c r="D39" s="12">
        <f>C12</f>
        <v>46.3</v>
      </c>
      <c r="E39" s="39" t="s">
        <v>2</v>
      </c>
      <c r="F39" s="12">
        <f>C12</f>
        <v>46.3</v>
      </c>
      <c r="G39" s="13" t="s">
        <v>2</v>
      </c>
    </row>
    <row r="40" spans="1:7" ht="15.6" x14ac:dyDescent="0.3">
      <c r="A40" s="4" t="s">
        <v>44</v>
      </c>
      <c r="B40" s="6" t="s">
        <v>248</v>
      </c>
      <c r="C40" s="5" t="s">
        <v>262</v>
      </c>
      <c r="D40" s="12">
        <f>1/6*C5+1</f>
        <v>8.6666666666666661</v>
      </c>
      <c r="E40" s="39" t="s">
        <v>2</v>
      </c>
      <c r="F40" s="12">
        <f>1/6*C5+1</f>
        <v>8.6666666666666661</v>
      </c>
      <c r="G40" s="13" t="s">
        <v>2</v>
      </c>
    </row>
    <row r="41" spans="1:7" ht="15.6" x14ac:dyDescent="0.35">
      <c r="A41" s="4" t="s">
        <v>45</v>
      </c>
      <c r="B41" s="8" t="s">
        <v>249</v>
      </c>
      <c r="C41" s="5" t="s">
        <v>225</v>
      </c>
      <c r="D41" s="12">
        <f>1/6*C5</f>
        <v>7.6666666666666661</v>
      </c>
      <c r="E41" s="39" t="s">
        <v>2</v>
      </c>
      <c r="F41" s="12">
        <f>D41</f>
        <v>7.6666666666666661</v>
      </c>
      <c r="G41" s="13" t="s">
        <v>2</v>
      </c>
    </row>
    <row r="42" spans="1:7" ht="15.6" x14ac:dyDescent="0.35">
      <c r="A42" s="23" t="s">
        <v>46</v>
      </c>
      <c r="B42" s="7" t="s">
        <v>250</v>
      </c>
      <c r="C42" s="5" t="s">
        <v>263</v>
      </c>
      <c r="D42" s="12">
        <f>0.5*C8-1</f>
        <v>18.95</v>
      </c>
      <c r="E42" s="39" t="s">
        <v>2</v>
      </c>
      <c r="F42" s="12">
        <f>0.5*C8-1</f>
        <v>18.95</v>
      </c>
      <c r="G42" s="13" t="s">
        <v>2</v>
      </c>
    </row>
    <row r="43" spans="1:7" ht="15.6" x14ac:dyDescent="0.35">
      <c r="A43" s="4" t="s">
        <v>47</v>
      </c>
      <c r="B43" s="7" t="s">
        <v>251</v>
      </c>
      <c r="C43" s="5" t="s">
        <v>265</v>
      </c>
      <c r="D43" s="12">
        <f>0.25*C10+1-2</f>
        <v>23</v>
      </c>
      <c r="E43" s="39" t="s">
        <v>2</v>
      </c>
      <c r="F43" s="12">
        <f>0.25*C10+1</f>
        <v>25</v>
      </c>
      <c r="G43" s="13" t="s">
        <v>2</v>
      </c>
    </row>
    <row r="44" spans="1:7" ht="15.6" x14ac:dyDescent="0.35">
      <c r="A44" s="4" t="s">
        <v>48</v>
      </c>
      <c r="B44" s="7" t="s">
        <v>252</v>
      </c>
      <c r="C44" s="5" t="s">
        <v>266</v>
      </c>
      <c r="D44" s="12">
        <f>0.25*C11+1+3-2</f>
        <v>21</v>
      </c>
      <c r="E44" s="38" t="s">
        <v>2</v>
      </c>
      <c r="F44" s="12">
        <f>0.25*C11+1+3</f>
        <v>23</v>
      </c>
      <c r="G44" s="22" t="s">
        <v>2</v>
      </c>
    </row>
    <row r="45" spans="1:7" x14ac:dyDescent="0.3">
      <c r="A45" s="23" t="s">
        <v>49</v>
      </c>
      <c r="B45" s="7" t="s">
        <v>238</v>
      </c>
      <c r="C45" s="5" t="s">
        <v>267</v>
      </c>
      <c r="D45" s="12">
        <f>7.5</f>
        <v>7.5</v>
      </c>
      <c r="E45" s="39" t="s">
        <v>2</v>
      </c>
      <c r="F45" s="12">
        <f>7.5</f>
        <v>7.5</v>
      </c>
      <c r="G45" s="13" t="s">
        <v>2</v>
      </c>
    </row>
    <row r="46" spans="1:7" ht="15.6" x14ac:dyDescent="0.35">
      <c r="A46" s="4" t="s">
        <v>50</v>
      </c>
      <c r="B46" s="8" t="s">
        <v>253</v>
      </c>
      <c r="C46" s="5" t="s">
        <v>268</v>
      </c>
      <c r="D46" s="12">
        <f>C14</f>
        <v>27.5</v>
      </c>
      <c r="E46" s="39" t="s">
        <v>2</v>
      </c>
      <c r="F46" s="12">
        <f>C14</f>
        <v>27.5</v>
      </c>
      <c r="G46" s="13" t="s">
        <v>2</v>
      </c>
    </row>
    <row r="47" spans="1:7" ht="15.6" x14ac:dyDescent="0.35">
      <c r="A47" s="4" t="s">
        <v>92</v>
      </c>
      <c r="B47" s="8" t="s">
        <v>254</v>
      </c>
      <c r="C47" s="5" t="s">
        <v>269</v>
      </c>
      <c r="D47" s="12">
        <f>0.5*C15</f>
        <v>10</v>
      </c>
      <c r="E47" s="39" t="s">
        <v>2</v>
      </c>
      <c r="F47" s="12">
        <f>0.5*C15</f>
        <v>10</v>
      </c>
      <c r="G47" s="13" t="s">
        <v>2</v>
      </c>
    </row>
    <row r="48" spans="1:7" ht="15.6" x14ac:dyDescent="0.35">
      <c r="A48" s="23" t="s">
        <v>93</v>
      </c>
      <c r="B48" s="8" t="s">
        <v>255</v>
      </c>
      <c r="C48" s="5" t="s">
        <v>270</v>
      </c>
      <c r="D48" s="12">
        <f>0.1*C5+0.5</f>
        <v>5.1000000000000005</v>
      </c>
      <c r="E48" s="39" t="s">
        <v>2</v>
      </c>
      <c r="F48" s="12">
        <f>0.1*C5+0.5</f>
        <v>5.1000000000000005</v>
      </c>
      <c r="G48" s="13" t="s">
        <v>2</v>
      </c>
    </row>
    <row r="49" spans="1:7" ht="15.6" x14ac:dyDescent="0.35">
      <c r="A49" s="4" t="s">
        <v>94</v>
      </c>
      <c r="B49" s="8" t="s">
        <v>256</v>
      </c>
      <c r="C49" s="5" t="s">
        <v>271</v>
      </c>
      <c r="D49" s="12">
        <f>1.6</f>
        <v>1.6</v>
      </c>
      <c r="E49" s="39" t="s">
        <v>2</v>
      </c>
      <c r="F49" s="12">
        <f>1.6</f>
        <v>1.6</v>
      </c>
      <c r="G49" s="13" t="s">
        <v>2</v>
      </c>
    </row>
    <row r="50" spans="1:7" ht="15.6" x14ac:dyDescent="0.35">
      <c r="A50" s="4" t="s">
        <v>95</v>
      </c>
      <c r="B50" s="8" t="s">
        <v>257</v>
      </c>
      <c r="C50" s="5" t="s">
        <v>272</v>
      </c>
      <c r="D50" s="12">
        <f>7.5</f>
        <v>7.5</v>
      </c>
      <c r="E50" s="39" t="s">
        <v>2</v>
      </c>
      <c r="F50" s="12">
        <f>7.5</f>
        <v>7.5</v>
      </c>
      <c r="G50" s="13" t="s">
        <v>2</v>
      </c>
    </row>
    <row r="51" spans="1:7" x14ac:dyDescent="0.3">
      <c r="A51" s="23" t="s">
        <v>96</v>
      </c>
      <c r="B51" s="8" t="s">
        <v>241</v>
      </c>
      <c r="C51" s="5" t="s">
        <v>91</v>
      </c>
      <c r="D51" s="12">
        <f>5</f>
        <v>5</v>
      </c>
      <c r="E51" s="39" t="s">
        <v>2</v>
      </c>
      <c r="F51" s="12">
        <f>5</f>
        <v>5</v>
      </c>
      <c r="G51" s="13" t="s">
        <v>2</v>
      </c>
    </row>
    <row r="52" spans="1:7" ht="15.6" x14ac:dyDescent="0.35">
      <c r="A52" s="4" t="s">
        <v>97</v>
      </c>
      <c r="B52" s="8" t="s">
        <v>258</v>
      </c>
      <c r="C52" s="5" t="s">
        <v>79</v>
      </c>
      <c r="D52" s="12">
        <f>2</f>
        <v>2</v>
      </c>
      <c r="E52" s="38" t="s">
        <v>2</v>
      </c>
      <c r="F52" s="12">
        <f>2</f>
        <v>2</v>
      </c>
      <c r="G52" s="22" t="s">
        <v>2</v>
      </c>
    </row>
    <row r="53" spans="1:7" x14ac:dyDescent="0.3">
      <c r="A53" s="4" t="s">
        <v>98</v>
      </c>
      <c r="B53" s="8" t="s">
        <v>242</v>
      </c>
      <c r="C53" s="5" t="s">
        <v>269</v>
      </c>
      <c r="D53" s="18">
        <f>0.5*C15</f>
        <v>10</v>
      </c>
      <c r="E53" s="39" t="s">
        <v>2</v>
      </c>
      <c r="F53" s="18">
        <f>0.5*C15</f>
        <v>10</v>
      </c>
      <c r="G53" s="13" t="s">
        <v>2</v>
      </c>
    </row>
    <row r="54" spans="1:7" ht="15.6" x14ac:dyDescent="0.35">
      <c r="A54" s="4" t="s">
        <v>243</v>
      </c>
      <c r="B54" s="8" t="s">
        <v>259</v>
      </c>
      <c r="C54" s="5" t="s">
        <v>231</v>
      </c>
      <c r="D54" s="18">
        <f>-2</f>
        <v>-2</v>
      </c>
      <c r="E54" s="39" t="s">
        <v>2</v>
      </c>
      <c r="F54" s="18">
        <f>-2</f>
        <v>-2</v>
      </c>
      <c r="G54" s="13" t="s">
        <v>2</v>
      </c>
    </row>
    <row r="55" spans="1:7" ht="15.6" x14ac:dyDescent="0.35">
      <c r="A55" s="4" t="s">
        <v>244</v>
      </c>
      <c r="B55" s="8" t="s">
        <v>260</v>
      </c>
      <c r="C55" s="5" t="s">
        <v>232</v>
      </c>
      <c r="D55" s="18">
        <f>1.5</f>
        <v>1.5</v>
      </c>
      <c r="E55" s="39" t="s">
        <v>2</v>
      </c>
      <c r="F55" s="18">
        <f>1.5</f>
        <v>1.5</v>
      </c>
      <c r="G55" s="13" t="s">
        <v>2</v>
      </c>
    </row>
    <row r="56" spans="1:7" ht="16.2" thickBot="1" x14ac:dyDescent="0.4">
      <c r="A56" s="9" t="s">
        <v>245</v>
      </c>
      <c r="B56" s="10" t="s">
        <v>261</v>
      </c>
      <c r="C56" s="11" t="s">
        <v>232</v>
      </c>
      <c r="D56" s="19">
        <f>1.5</f>
        <v>1.5</v>
      </c>
      <c r="E56" s="40" t="s">
        <v>2</v>
      </c>
      <c r="F56" s="19">
        <f>1.5</f>
        <v>1.5</v>
      </c>
      <c r="G56" s="15" t="s">
        <v>2</v>
      </c>
    </row>
    <row r="57" spans="1:7" ht="15" thickTop="1" x14ac:dyDescent="0.3">
      <c r="B57" s="2"/>
    </row>
    <row r="58" spans="1:7" x14ac:dyDescent="0.3">
      <c r="B58" s="2"/>
    </row>
    <row r="59" spans="1:7" x14ac:dyDescent="0.3">
      <c r="B59" s="2"/>
    </row>
    <row r="60" spans="1:7" x14ac:dyDescent="0.3">
      <c r="B60" s="2"/>
    </row>
    <row r="61" spans="1:7" x14ac:dyDescent="0.3">
      <c r="B61" s="2"/>
    </row>
    <row r="62" spans="1:7" x14ac:dyDescent="0.3">
      <c r="B62" s="2"/>
    </row>
    <row r="63" spans="1:7" x14ac:dyDescent="0.3">
      <c r="B63" s="2"/>
    </row>
    <row r="64" spans="1:7" x14ac:dyDescent="0.3">
      <c r="B64" s="2"/>
    </row>
    <row r="65" spans="2:2" x14ac:dyDescent="0.3">
      <c r="B65" s="2"/>
    </row>
    <row r="66" spans="2:2" x14ac:dyDescent="0.3">
      <c r="B66" s="2"/>
    </row>
    <row r="67" spans="2:2" x14ac:dyDescent="0.3">
      <c r="B67" s="2"/>
    </row>
  </sheetData>
  <mergeCells count="5">
    <mergeCell ref="B4:D4"/>
    <mergeCell ref="D17:E17"/>
    <mergeCell ref="F17:G17"/>
    <mergeCell ref="A18:G18"/>
    <mergeCell ref="A35:G35"/>
  </mergeCells>
  <phoneticPr fontId="3" type="noConversion"/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vrba</vt:lpstr>
      <vt:lpstr>shin</vt:lpstr>
      <vt:lpstr>Haggar</vt:lpstr>
      <vt:lpstr>Burgo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 base</dc:creator>
  <cp:lastModifiedBy>Klára Adamová</cp:lastModifiedBy>
  <dcterms:created xsi:type="dcterms:W3CDTF">2024-03-18T15:23:09Z</dcterms:created>
  <dcterms:modified xsi:type="dcterms:W3CDTF">2024-05-08T14:39:37Z</dcterms:modified>
</cp:coreProperties>
</file>