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danh\OneDrive - Afeka College Of Engineering\Liberec\dissertation\"/>
    </mc:Choice>
  </mc:AlternateContent>
  <xr:revisionPtr revIDLastSave="0" documentId="13_ncr:1_{513F78A6-B5A7-42B2-B949-8F4661CA343C}" xr6:coauthVersionLast="47" xr6:coauthVersionMax="47" xr10:uidLastSave="{00000000-0000-0000-0000-000000000000}"/>
  <bookViews>
    <workbookView xWindow="-120" yWindow="-120" windowWidth="29040" windowHeight="15720" xr2:uid="{11B4C74F-B439-488D-A452-2CA718D18E81}"/>
  </bookViews>
  <sheets>
    <sheet name="result table" sheetId="10" r:id="rId1"/>
    <sheet name="TCO" sheetId="9" r:id="rId2"/>
    <sheet name="packaging" sheetId="8" r:id="rId3"/>
    <sheet name="stability" sheetId="11" r:id="rId4"/>
    <sheet name="initial performance" sheetId="6" r:id="rId5"/>
    <sheet name="moment of inertia" sheetId="13" r:id="rId6"/>
    <sheet name="use case data" sheetId="1" r:id="rId7"/>
  </sheets>
  <externalReferences>
    <externalReference r:id="rId8"/>
  </externalReferences>
  <definedNames>
    <definedName name="alum_cost">TCO!$S$11</definedName>
    <definedName name="alum_weight">packaging!$C$25</definedName>
    <definedName name="annual_days">TCO!$S$19</definedName>
    <definedName name="assembly_cost">TCO!$S$13</definedName>
    <definedName name="asswmbly_cost">TCO!$S$13</definedName>
    <definedName name="AV_cost">TCO!$S$10</definedName>
    <definedName name="ave_cargo">TCO!$P$31</definedName>
    <definedName name="body_cost">TCO!$S$9</definedName>
    <definedName name="cargo_SW">packaging!$C$4</definedName>
    <definedName name="dist">stability!$I$55</definedName>
    <definedName name="E_Cost">TCO!$S$25</definedName>
    <definedName name="end_of_life">TCO!$S$18</definedName>
    <definedName name="est_capacity">packaging!#REF!</definedName>
    <definedName name="front_overhang">packaging!$G$20</definedName>
    <definedName name="half_t">stability!$I$56</definedName>
    <definedName name="kerb_weight">packaging!$C$23</definedName>
    <definedName name="long_range">'use case data'!$E$8</definedName>
    <definedName name="low_range">'use case data'!$E$6</definedName>
    <definedName name="margin">TCO!$S$16</definedName>
    <definedName name="metropole_weight_factor">packaging!$C$14</definedName>
    <definedName name="mid_mile_weight_factor">packaging!$C$13</definedName>
    <definedName name="mid_range">'use case data'!$E$7</definedName>
    <definedName name="mod_capacity">packaging!$C$7</definedName>
    <definedName name="mod_height">packaging!$C$9</definedName>
    <definedName name="mod_length">packaging!$C$8</definedName>
    <definedName name="mod_width">packaging!$C$10</definedName>
    <definedName name="motor_cost">TCO!$S$7</definedName>
    <definedName name="num_decks">packaging!$F$40</definedName>
    <definedName name="num_module">packaging!$F$39</definedName>
    <definedName name="pack_cost">TCO!$S$6</definedName>
    <definedName name="plast_weight">packaging!$C$26</definedName>
    <definedName name="plastic_cost">TCO!$S$12</definedName>
    <definedName name="powerE_cost">TCO!$S$8</definedName>
    <definedName name="res_value">TCO!$S$17</definedName>
    <definedName name="serv_relat_cost">TCO!$S$24</definedName>
    <definedName name="short_range">'use case data'!$E$6</definedName>
    <definedName name="specific_energy">packaging!$C$5</definedName>
    <definedName name="steel_cost">TCO!$S$11</definedName>
    <definedName name="t">stability!$I$53</definedName>
    <definedName name="tire_stat_rad">stability!$I$59</definedName>
    <definedName name="track">stability!$C$7</definedName>
    <definedName name="TRR">packaging!$C$15</definedName>
    <definedName name="use_bat_E">packaging!$C$6</definedName>
    <definedName name="V_nom">packaging!$C$12</definedName>
    <definedName name="WB">stability!$I$54</definedName>
    <definedName name="Xb">packaging!$F$42</definedName>
    <definedName name="Z_bat_bot">packaging!$C$11</definedName>
    <definedName name="Zb">packaging!$F$43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1" i="8" l="1"/>
  <c r="M28" i="11"/>
  <c r="M24" i="11"/>
  <c r="M26" i="11" s="1"/>
  <c r="L20" i="10"/>
  <c r="M25" i="11" l="1"/>
  <c r="M27" i="11" s="1"/>
  <c r="P31" i="8" l="1"/>
  <c r="Q31" i="8"/>
  <c r="R31" i="8"/>
  <c r="O31" i="8"/>
  <c r="D31" i="8"/>
  <c r="E31" i="8"/>
  <c r="F31" i="8"/>
  <c r="G31" i="8"/>
  <c r="H31" i="8"/>
  <c r="I31" i="8"/>
  <c r="J31" i="8"/>
  <c r="L31" i="8"/>
  <c r="M31" i="8"/>
  <c r="C31" i="8"/>
  <c r="L98" i="10"/>
  <c r="M98" i="10"/>
  <c r="B96" i="10"/>
  <c r="B97" i="10"/>
  <c r="B98" i="10"/>
  <c r="A97" i="10"/>
  <c r="A98" i="10"/>
  <c r="A96" i="10"/>
  <c r="A95" i="10"/>
  <c r="F8" i="1"/>
  <c r="F7" i="1"/>
  <c r="F6" i="1"/>
  <c r="I10" i="1" l="1"/>
  <c r="H10" i="1"/>
  <c r="H9" i="1"/>
  <c r="I9" i="1" s="1"/>
  <c r="L51" i="10" l="1"/>
  <c r="L50" i="10"/>
  <c r="M52" i="10"/>
  <c r="M51" i="10"/>
  <c r="L52" i="10"/>
  <c r="Q51" i="10"/>
  <c r="Q50" i="10"/>
  <c r="P51" i="10"/>
  <c r="P50" i="10"/>
  <c r="M45" i="10" l="1"/>
  <c r="D35" i="10"/>
  <c r="L24" i="11"/>
  <c r="L25" i="11" s="1"/>
  <c r="C58" i="11"/>
  <c r="C61" i="11" s="1"/>
  <c r="C56" i="11"/>
  <c r="C60" i="11" l="1"/>
  <c r="L28" i="11"/>
  <c r="L26" i="11"/>
  <c r="A37" i="10"/>
  <c r="Q55" i="10"/>
  <c r="L45" i="10"/>
  <c r="N45" i="10"/>
  <c r="O45" i="10"/>
  <c r="P45" i="10"/>
  <c r="Q45" i="10"/>
  <c r="M47" i="10"/>
  <c r="N47" i="10"/>
  <c r="O47" i="10"/>
  <c r="P47" i="10"/>
  <c r="Q47" i="10"/>
  <c r="B131" i="10"/>
  <c r="A131" i="10"/>
  <c r="B130" i="10"/>
  <c r="A130" i="10"/>
  <c r="L27" i="11" l="1"/>
  <c r="A6" i="11"/>
  <c r="G43" i="8"/>
  <c r="C43" i="8" l="1"/>
  <c r="I20" i="1"/>
  <c r="F20" i="1"/>
  <c r="D20" i="1"/>
  <c r="C13" i="10" s="1"/>
  <c r="C96" i="10" s="1"/>
  <c r="A124" i="10"/>
  <c r="M126" i="10"/>
  <c r="N126" i="10"/>
  <c r="O126" i="10"/>
  <c r="C123" i="10"/>
  <c r="D123" i="10"/>
  <c r="E123" i="10"/>
  <c r="F123" i="10"/>
  <c r="G123" i="10"/>
  <c r="H123" i="10"/>
  <c r="I123" i="10"/>
  <c r="J126" i="10"/>
  <c r="L126" i="10"/>
  <c r="A123" i="10"/>
  <c r="B117" i="10"/>
  <c r="C6" i="11" l="1"/>
  <c r="C117" i="10"/>
  <c r="A29" i="10"/>
  <c r="B29" i="10"/>
  <c r="B119" i="10" s="1"/>
  <c r="H52" i="13" l="1"/>
  <c r="G63" i="13"/>
  <c r="G59" i="13"/>
  <c r="G55" i="13"/>
  <c r="S55" i="11"/>
  <c r="S54" i="11"/>
  <c r="B28" i="10"/>
  <c r="B118" i="10" s="1"/>
  <c r="B30" i="10"/>
  <c r="B120" i="10" s="1"/>
  <c r="A30" i="10"/>
  <c r="A28" i="10"/>
  <c r="N24" i="11"/>
  <c r="O24" i="11"/>
  <c r="P24" i="11"/>
  <c r="Q24" i="11"/>
  <c r="D24" i="11"/>
  <c r="E24" i="11"/>
  <c r="F24" i="11"/>
  <c r="G24" i="11"/>
  <c r="H24" i="11"/>
  <c r="I24" i="11"/>
  <c r="J24" i="11"/>
  <c r="C24" i="11"/>
  <c r="A26" i="10"/>
  <c r="C68" i="13"/>
  <c r="H60" i="13" s="1"/>
  <c r="C64" i="13"/>
  <c r="H56" i="13" s="1"/>
  <c r="B67" i="13"/>
  <c r="B63" i="13"/>
  <c r="B71" i="13"/>
  <c r="B59" i="13"/>
  <c r="B55" i="13"/>
  <c r="R50" i="13"/>
  <c r="C48" i="13"/>
  <c r="R63" i="13"/>
  <c r="V74" i="13"/>
  <c r="V65" i="13"/>
  <c r="T61" i="13"/>
  <c r="T65" i="13" s="1"/>
  <c r="S50" i="13"/>
  <c r="T48" i="13"/>
  <c r="S53" i="13"/>
  <c r="S55" i="13" s="1"/>
  <c r="R53" i="13"/>
  <c r="S56" i="11" l="1"/>
  <c r="F48" i="13" s="1"/>
  <c r="T53" i="13"/>
  <c r="T50" i="13"/>
  <c r="R55" i="13"/>
  <c r="T55" i="13" s="1"/>
  <c r="B33" i="13"/>
  <c r="A33" i="13"/>
  <c r="P65" i="13" s="1"/>
  <c r="B29" i="13"/>
  <c r="A29" i="13"/>
  <c r="P74" i="13" s="1"/>
  <c r="B21" i="13"/>
  <c r="B17" i="13"/>
  <c r="B13" i="13"/>
  <c r="B9" i="13"/>
  <c r="B5" i="13"/>
  <c r="B51" i="13" s="1"/>
  <c r="T56" i="11" l="1"/>
  <c r="F47" i="13" s="1"/>
  <c r="D82" i="8" l="1"/>
  <c r="E82" i="8"/>
  <c r="F82" i="8"/>
  <c r="G82" i="8"/>
  <c r="H82" i="8"/>
  <c r="I82" i="8"/>
  <c r="J82" i="8"/>
  <c r="C82" i="8"/>
  <c r="O56" i="11" l="1"/>
  <c r="Q56" i="11" s="1"/>
  <c r="L12" i="11" s="1"/>
  <c r="L8" i="11"/>
  <c r="L10" i="11" s="1"/>
  <c r="L7" i="11"/>
  <c r="P54" i="11"/>
  <c r="P53" i="11"/>
  <c r="I56" i="11"/>
  <c r="I58" i="11" s="1"/>
  <c r="P67" i="8"/>
  <c r="P5" i="13" s="1"/>
  <c r="Q67" i="8"/>
  <c r="Q5" i="13" s="1"/>
  <c r="R67" i="8"/>
  <c r="R5" i="13" s="1"/>
  <c r="P71" i="8"/>
  <c r="P9" i="13" s="1"/>
  <c r="Q71" i="8"/>
  <c r="Q9" i="13" s="1"/>
  <c r="R71" i="8"/>
  <c r="R9" i="13" s="1"/>
  <c r="P75" i="8"/>
  <c r="P13" i="13" s="1"/>
  <c r="Q75" i="8"/>
  <c r="Q13" i="13" s="1"/>
  <c r="R75" i="8"/>
  <c r="R13" i="13" s="1"/>
  <c r="P79" i="8"/>
  <c r="P17" i="13" s="1"/>
  <c r="Q79" i="8"/>
  <c r="Q17" i="13" s="1"/>
  <c r="R79" i="8"/>
  <c r="R17" i="13" s="1"/>
  <c r="P83" i="8"/>
  <c r="P21" i="13" s="1"/>
  <c r="Q83" i="8"/>
  <c r="Q21" i="13" s="1"/>
  <c r="R83" i="8"/>
  <c r="R21" i="13" s="1"/>
  <c r="O83" i="8"/>
  <c r="O21" i="13" s="1"/>
  <c r="O79" i="8"/>
  <c r="O17" i="13" s="1"/>
  <c r="O75" i="8"/>
  <c r="O13" i="13" s="1"/>
  <c r="O71" i="8"/>
  <c r="O9" i="13" s="1"/>
  <c r="O67" i="8"/>
  <c r="O5" i="13" s="1"/>
  <c r="J67" i="8"/>
  <c r="J5" i="13" s="1"/>
  <c r="J71" i="8"/>
  <c r="J9" i="13" s="1"/>
  <c r="J75" i="8"/>
  <c r="J13" i="13" s="1"/>
  <c r="J79" i="8"/>
  <c r="J17" i="13" s="1"/>
  <c r="J83" i="8"/>
  <c r="J21" i="13" s="1"/>
  <c r="D67" i="8"/>
  <c r="D5" i="13" s="1"/>
  <c r="E67" i="8"/>
  <c r="E5" i="13" s="1"/>
  <c r="F67" i="8"/>
  <c r="F5" i="13" s="1"/>
  <c r="G51" i="13" s="1"/>
  <c r="G67" i="8"/>
  <c r="G5" i="13" s="1"/>
  <c r="H51" i="13" s="1"/>
  <c r="H67" i="8"/>
  <c r="H5" i="13" s="1"/>
  <c r="I67" i="8"/>
  <c r="I5" i="13" s="1"/>
  <c r="D71" i="8"/>
  <c r="D9" i="13" s="1"/>
  <c r="E71" i="8"/>
  <c r="E9" i="13" s="1"/>
  <c r="F71" i="8"/>
  <c r="F9" i="13" s="1"/>
  <c r="G71" i="8"/>
  <c r="G9" i="13" s="1"/>
  <c r="H71" i="8"/>
  <c r="H9" i="13" s="1"/>
  <c r="I71" i="8"/>
  <c r="I9" i="13" s="1"/>
  <c r="D75" i="8"/>
  <c r="D13" i="13" s="1"/>
  <c r="E75" i="8"/>
  <c r="E13" i="13" s="1"/>
  <c r="F75" i="8"/>
  <c r="F13" i="13" s="1"/>
  <c r="G75" i="8"/>
  <c r="G13" i="13" s="1"/>
  <c r="H75" i="8"/>
  <c r="H13" i="13" s="1"/>
  <c r="I75" i="8"/>
  <c r="I13" i="13" s="1"/>
  <c r="D79" i="8"/>
  <c r="D17" i="13" s="1"/>
  <c r="E79" i="8"/>
  <c r="E17" i="13" s="1"/>
  <c r="F79" i="8"/>
  <c r="F17" i="13" s="1"/>
  <c r="G79" i="8"/>
  <c r="G17" i="13" s="1"/>
  <c r="H57" i="13" s="1"/>
  <c r="H79" i="8"/>
  <c r="H17" i="13" s="1"/>
  <c r="I79" i="8"/>
  <c r="I17" i="13" s="1"/>
  <c r="D83" i="8"/>
  <c r="D21" i="13" s="1"/>
  <c r="E83" i="8"/>
  <c r="E21" i="13" s="1"/>
  <c r="F83" i="8"/>
  <c r="F21" i="13" s="1"/>
  <c r="G83" i="8"/>
  <c r="G21" i="13" s="1"/>
  <c r="H61" i="13" s="1"/>
  <c r="H83" i="8"/>
  <c r="H21" i="13" s="1"/>
  <c r="I83" i="8"/>
  <c r="I21" i="13" s="1"/>
  <c r="C83" i="8"/>
  <c r="C21" i="13" s="1"/>
  <c r="S62" i="13" s="1"/>
  <c r="R62" i="13" s="1"/>
  <c r="C22" i="13" s="1"/>
  <c r="C79" i="8"/>
  <c r="C17" i="13" s="1"/>
  <c r="S61" i="13" s="1"/>
  <c r="R61" i="13" s="1"/>
  <c r="C18" i="13" s="1"/>
  <c r="C75" i="8"/>
  <c r="C13" i="13" s="1"/>
  <c r="S60" i="13" s="1"/>
  <c r="R60" i="13" s="1"/>
  <c r="C14" i="13" s="1"/>
  <c r="C71" i="8"/>
  <c r="C9" i="13" s="1"/>
  <c r="C67" i="8"/>
  <c r="C5" i="13" s="1"/>
  <c r="A71" i="8"/>
  <c r="A9" i="13" s="1"/>
  <c r="A55" i="13" s="1"/>
  <c r="A75" i="8"/>
  <c r="A13" i="13" s="1"/>
  <c r="P60" i="13" s="1"/>
  <c r="A79" i="8"/>
  <c r="A17" i="13" s="1"/>
  <c r="P61" i="13" s="1"/>
  <c r="A83" i="8"/>
  <c r="A21" i="13" s="1"/>
  <c r="P62" i="13" s="1"/>
  <c r="A87" i="8"/>
  <c r="A67" i="8"/>
  <c r="A5" i="13" s="1"/>
  <c r="A51" i="13" s="1"/>
  <c r="C35" i="10"/>
  <c r="E35" i="10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C32" i="9"/>
  <c r="H22" i="9"/>
  <c r="H15" i="9"/>
  <c r="H4" i="9"/>
  <c r="H5" i="9"/>
  <c r="H7" i="9"/>
  <c r="H8" i="9"/>
  <c r="H9" i="9"/>
  <c r="H10" i="9"/>
  <c r="H11" i="9"/>
  <c r="H12" i="9"/>
  <c r="H13" i="9"/>
  <c r="C22" i="9"/>
  <c r="C24" i="9" s="1"/>
  <c r="D22" i="9"/>
  <c r="E22" i="9"/>
  <c r="E24" i="9" s="1"/>
  <c r="D19" i="9"/>
  <c r="C15" i="9"/>
  <c r="D15" i="9"/>
  <c r="E15" i="9"/>
  <c r="C8" i="9"/>
  <c r="D8" i="9"/>
  <c r="E8" i="9"/>
  <c r="C7" i="9"/>
  <c r="D7" i="9"/>
  <c r="E7" i="9"/>
  <c r="E13" i="9"/>
  <c r="D13" i="9"/>
  <c r="C13" i="9"/>
  <c r="E12" i="9"/>
  <c r="D12" i="9"/>
  <c r="C12" i="9"/>
  <c r="E11" i="9"/>
  <c r="D11" i="9"/>
  <c r="C11" i="9"/>
  <c r="E10" i="9"/>
  <c r="D10" i="9"/>
  <c r="C10" i="9"/>
  <c r="E9" i="9"/>
  <c r="D9" i="9"/>
  <c r="C9" i="9"/>
  <c r="E5" i="9"/>
  <c r="D5" i="9"/>
  <c r="C5" i="9"/>
  <c r="E4" i="9"/>
  <c r="D4" i="9"/>
  <c r="C4" i="9"/>
  <c r="C21" i="10"/>
  <c r="D21" i="10"/>
  <c r="E21" i="10"/>
  <c r="E39" i="11" s="1"/>
  <c r="C30" i="8"/>
  <c r="D30" i="8"/>
  <c r="E30" i="8"/>
  <c r="D32" i="8"/>
  <c r="C29" i="8"/>
  <c r="D29" i="8"/>
  <c r="E29" i="8"/>
  <c r="E51" i="8"/>
  <c r="D51" i="8"/>
  <c r="E43" i="8"/>
  <c r="D43" i="8"/>
  <c r="C44" i="8"/>
  <c r="C94" i="8" s="1"/>
  <c r="C10" i="10"/>
  <c r="C95" i="10" s="1"/>
  <c r="D10" i="10"/>
  <c r="D95" i="10" s="1"/>
  <c r="E10" i="10"/>
  <c r="E95" i="10" s="1"/>
  <c r="C11" i="10"/>
  <c r="D11" i="10"/>
  <c r="E11" i="10"/>
  <c r="D12" i="10"/>
  <c r="D121" i="10" s="1"/>
  <c r="D13" i="10"/>
  <c r="D96" i="10" s="1"/>
  <c r="C14" i="10"/>
  <c r="D14" i="10"/>
  <c r="E14" i="10"/>
  <c r="E13" i="10"/>
  <c r="E96" i="10" s="1"/>
  <c r="F19" i="1"/>
  <c r="I22" i="1"/>
  <c r="H22" i="1"/>
  <c r="G22" i="1"/>
  <c r="E22" i="1"/>
  <c r="D22" i="1"/>
  <c r="F22" i="1" s="1"/>
  <c r="D19" i="1"/>
  <c r="C18" i="10" l="1"/>
  <c r="C52" i="8"/>
  <c r="C51" i="13"/>
  <c r="S58" i="13"/>
  <c r="R58" i="13" s="1"/>
  <c r="C6" i="13" s="1"/>
  <c r="C55" i="13"/>
  <c r="S59" i="13"/>
  <c r="R59" i="13" s="1"/>
  <c r="C10" i="13" s="1"/>
  <c r="D14" i="13"/>
  <c r="E14" i="13"/>
  <c r="G14" i="13" s="1"/>
  <c r="F14" i="13"/>
  <c r="F18" i="13"/>
  <c r="D18" i="13"/>
  <c r="E18" i="13"/>
  <c r="G18" i="13" s="1"/>
  <c r="E22" i="13"/>
  <c r="G22" i="13" s="1"/>
  <c r="D22" i="13"/>
  <c r="F22" i="13"/>
  <c r="E117" i="10"/>
  <c r="E37" i="10"/>
  <c r="D117" i="10"/>
  <c r="C37" i="10"/>
  <c r="D37" i="10"/>
  <c r="L41" i="10"/>
  <c r="L55" i="10" s="1"/>
  <c r="E6" i="11"/>
  <c r="D6" i="11"/>
  <c r="M41" i="10"/>
  <c r="M55" i="10" s="1"/>
  <c r="D44" i="8"/>
  <c r="D94" i="8" s="1"/>
  <c r="V75" i="13"/>
  <c r="E44" i="8"/>
  <c r="E94" i="8" s="1"/>
  <c r="V76" i="13"/>
  <c r="C47" i="13"/>
  <c r="C19" i="9"/>
  <c r="C23" i="9" s="1"/>
  <c r="C32" i="8"/>
  <c r="C35" i="8" s="1"/>
  <c r="C36" i="8" s="1"/>
  <c r="C12" i="10"/>
  <c r="C121" i="10" s="1"/>
  <c r="E19" i="9"/>
  <c r="E23" i="9" s="1"/>
  <c r="E32" i="8"/>
  <c r="E35" i="8" s="1"/>
  <c r="E23" i="10" s="1"/>
  <c r="E122" i="10" s="1"/>
  <c r="E12" i="10"/>
  <c r="E121" i="10" s="1"/>
  <c r="E5" i="11"/>
  <c r="E66" i="8"/>
  <c r="D66" i="8"/>
  <c r="D5" i="11"/>
  <c r="C5" i="11"/>
  <c r="C66" i="8"/>
  <c r="D35" i="8"/>
  <c r="D91" i="8" s="1"/>
  <c r="D29" i="13" s="1"/>
  <c r="S75" i="13" s="1"/>
  <c r="E18" i="10"/>
  <c r="E95" i="8"/>
  <c r="E33" i="13" s="1"/>
  <c r="D18" i="10"/>
  <c r="D95" i="8"/>
  <c r="D33" i="13" s="1"/>
  <c r="P56" i="11"/>
  <c r="L9" i="11" s="1"/>
  <c r="L11" i="11" s="1"/>
  <c r="L13" i="11" s="1"/>
  <c r="C95" i="8"/>
  <c r="C33" i="13" s="1"/>
  <c r="S65" i="13" s="1"/>
  <c r="R65" i="13" s="1"/>
  <c r="C34" i="13" s="1"/>
  <c r="E52" i="8"/>
  <c r="E98" i="8" s="1"/>
  <c r="D52" i="8"/>
  <c r="D98" i="8" s="1"/>
  <c r="H24" i="9"/>
  <c r="D23" i="9"/>
  <c r="D24" i="9"/>
  <c r="C48" i="8" l="1"/>
  <c r="C98" i="8"/>
  <c r="O22" i="13"/>
  <c r="H22" i="13"/>
  <c r="H18" i="13"/>
  <c r="O18" i="13"/>
  <c r="O14" i="13"/>
  <c r="H14" i="13"/>
  <c r="E10" i="13"/>
  <c r="G10" i="13" s="1"/>
  <c r="C56" i="13"/>
  <c r="D10" i="13"/>
  <c r="F10" i="13"/>
  <c r="E6" i="13"/>
  <c r="G6" i="13" s="1"/>
  <c r="C52" i="13"/>
  <c r="D6" i="13"/>
  <c r="F6" i="13" s="1"/>
  <c r="H6" i="13" s="1"/>
  <c r="C59" i="13"/>
  <c r="S67" i="13" s="1"/>
  <c r="R67" i="13" s="1"/>
  <c r="C60" i="13" s="1"/>
  <c r="C6" i="9"/>
  <c r="C14" i="9" s="1"/>
  <c r="C16" i="9" s="1"/>
  <c r="C17" i="9" s="1"/>
  <c r="C18" i="9" s="1"/>
  <c r="C26" i="9" s="1"/>
  <c r="E36" i="8"/>
  <c r="E91" i="8"/>
  <c r="E29" i="13" s="1"/>
  <c r="S76" i="13" s="1"/>
  <c r="R76" i="13" s="1"/>
  <c r="F30" i="13" s="1"/>
  <c r="E39" i="8"/>
  <c r="E41" i="8" s="1"/>
  <c r="E124" i="10" s="1"/>
  <c r="D3" i="13"/>
  <c r="D41" i="13"/>
  <c r="C39" i="8"/>
  <c r="C41" i="8" s="1"/>
  <c r="C91" i="8"/>
  <c r="C29" i="13" s="1"/>
  <c r="S74" i="13" s="1"/>
  <c r="C3" i="13"/>
  <c r="C41" i="13"/>
  <c r="E3" i="13"/>
  <c r="E41" i="13"/>
  <c r="D34" i="13"/>
  <c r="E34" i="13"/>
  <c r="C23" i="10"/>
  <c r="C122" i="10" s="1"/>
  <c r="D39" i="8"/>
  <c r="D41" i="8" s="1"/>
  <c r="D42" i="8" s="1"/>
  <c r="E6" i="9"/>
  <c r="E14" i="9" s="1"/>
  <c r="E16" i="9" s="1"/>
  <c r="E17" i="9" s="1"/>
  <c r="E20" i="9" s="1"/>
  <c r="D6" i="9"/>
  <c r="D14" i="9" s="1"/>
  <c r="D16" i="9" s="1"/>
  <c r="D17" i="9" s="1"/>
  <c r="D20" i="9" s="1"/>
  <c r="R75" i="13"/>
  <c r="D23" i="10"/>
  <c r="D122" i="10" s="1"/>
  <c r="D36" i="8"/>
  <c r="H62" i="13"/>
  <c r="H58" i="13"/>
  <c r="H53" i="13"/>
  <c r="H54" i="13" s="1"/>
  <c r="C57" i="13"/>
  <c r="C61" i="13"/>
  <c r="C65" i="13"/>
  <c r="C66" i="13" s="1"/>
  <c r="C69" i="13"/>
  <c r="C70" i="13" s="1"/>
  <c r="C53" i="13"/>
  <c r="E106" i="8"/>
  <c r="E107" i="8"/>
  <c r="D106" i="8"/>
  <c r="D107" i="8"/>
  <c r="D108" i="8"/>
  <c r="D48" i="8"/>
  <c r="D22" i="10" s="1"/>
  <c r="E48" i="8"/>
  <c r="E22" i="10" s="1"/>
  <c r="C22" i="10"/>
  <c r="E42" i="8" l="1"/>
  <c r="E92" i="8" s="1"/>
  <c r="E108" i="8"/>
  <c r="C58" i="13"/>
  <c r="C54" i="13"/>
  <c r="C62" i="13"/>
  <c r="O6" i="13"/>
  <c r="I6" i="13"/>
  <c r="Q6" i="13" s="1"/>
  <c r="C20" i="9"/>
  <c r="O10" i="13"/>
  <c r="H10" i="13"/>
  <c r="P14" i="13"/>
  <c r="I14" i="13"/>
  <c r="P6" i="13"/>
  <c r="J6" i="13"/>
  <c r="R6" i="13" s="1"/>
  <c r="I18" i="13"/>
  <c r="P18" i="13"/>
  <c r="P22" i="13"/>
  <c r="I22" i="13"/>
  <c r="D124" i="10"/>
  <c r="L14" i="11"/>
  <c r="D18" i="9"/>
  <c r="D26" i="9" s="1"/>
  <c r="C106" i="8"/>
  <c r="D30" i="13"/>
  <c r="C107" i="8"/>
  <c r="E30" i="13"/>
  <c r="C42" i="8"/>
  <c r="C124" i="10"/>
  <c r="C108" i="8"/>
  <c r="E38" i="8"/>
  <c r="E19" i="10" s="1"/>
  <c r="F34" i="13"/>
  <c r="E18" i="9"/>
  <c r="E26" i="9" s="1"/>
  <c r="E34" i="10" s="1"/>
  <c r="D38" i="8"/>
  <c r="D8" i="11" s="1"/>
  <c r="D92" i="8"/>
  <c r="H63" i="13"/>
  <c r="H65" i="13" s="1"/>
  <c r="C30" i="9"/>
  <c r="C34" i="10"/>
  <c r="C31" i="9"/>
  <c r="C71" i="13" l="1"/>
  <c r="C73" i="13" s="1"/>
  <c r="Q22" i="13"/>
  <c r="J22" i="13"/>
  <c r="R22" i="13" s="1"/>
  <c r="Q14" i="13"/>
  <c r="J14" i="13"/>
  <c r="R14" i="13" s="1"/>
  <c r="J18" i="13"/>
  <c r="R18" i="13" s="1"/>
  <c r="Q18" i="13"/>
  <c r="P10" i="13"/>
  <c r="I10" i="13"/>
  <c r="E8" i="11"/>
  <c r="E10" i="11" s="1"/>
  <c r="D10" i="11"/>
  <c r="E72" i="8"/>
  <c r="E36" i="10"/>
  <c r="C38" i="8"/>
  <c r="C92" i="8"/>
  <c r="U74" i="13"/>
  <c r="R74" i="13" s="1"/>
  <c r="C30" i="13" s="1"/>
  <c r="E23" i="11"/>
  <c r="E28" i="11" s="1"/>
  <c r="E30" i="10" s="1"/>
  <c r="E120" i="10" s="1"/>
  <c r="D23" i="11"/>
  <c r="D26" i="11" s="1"/>
  <c r="D29" i="10" s="1"/>
  <c r="D119" i="10" s="1"/>
  <c r="E76" i="8"/>
  <c r="D19" i="10"/>
  <c r="D72" i="8"/>
  <c r="D36" i="10"/>
  <c r="D76" i="8"/>
  <c r="D31" i="9"/>
  <c r="D34" i="10"/>
  <c r="E31" i="9"/>
  <c r="D30" i="9"/>
  <c r="E30" i="9"/>
  <c r="Q10" i="13" l="1"/>
  <c r="J10" i="13"/>
  <c r="R10" i="13" s="1"/>
  <c r="E25" i="11"/>
  <c r="E28" i="10" s="1"/>
  <c r="E118" i="10" s="1"/>
  <c r="D25" i="11"/>
  <c r="D28" i="10" s="1"/>
  <c r="D118" i="10" s="1"/>
  <c r="D28" i="11"/>
  <c r="D30" i="10" s="1"/>
  <c r="D120" i="10" s="1"/>
  <c r="E26" i="11"/>
  <c r="E29" i="10" s="1"/>
  <c r="E119" i="10" s="1"/>
  <c r="C8" i="11"/>
  <c r="C23" i="11"/>
  <c r="C19" i="10"/>
  <c r="C36" i="10"/>
  <c r="C72" i="8"/>
  <c r="C76" i="8"/>
  <c r="A31" i="11"/>
  <c r="B31" i="11"/>
  <c r="E31" i="11"/>
  <c r="A32" i="11"/>
  <c r="B32" i="11"/>
  <c r="A33" i="11"/>
  <c r="B33" i="11"/>
  <c r="A34" i="11"/>
  <c r="A35" i="11"/>
  <c r="B35" i="11"/>
  <c r="A36" i="11"/>
  <c r="B36" i="11"/>
  <c r="A37" i="11"/>
  <c r="B37" i="11"/>
  <c r="A38" i="11"/>
  <c r="B38" i="11"/>
  <c r="A39" i="11"/>
  <c r="B39" i="11"/>
  <c r="A40" i="11"/>
  <c r="B40" i="11"/>
  <c r="A41" i="11"/>
  <c r="B41" i="11"/>
  <c r="B30" i="11"/>
  <c r="A30" i="11"/>
  <c r="P65" i="10"/>
  <c r="P64" i="10"/>
  <c r="L11" i="10"/>
  <c r="L31" i="11" s="1"/>
  <c r="D27" i="11" l="1"/>
  <c r="C10" i="11"/>
  <c r="E27" i="11"/>
  <c r="C28" i="11"/>
  <c r="C30" i="10" s="1"/>
  <c r="C120" i="10" s="1"/>
  <c r="C26" i="11"/>
  <c r="C29" i="10" s="1"/>
  <c r="C119" i="10" s="1"/>
  <c r="C25" i="11"/>
  <c r="O51" i="8"/>
  <c r="R51" i="8"/>
  <c r="Q51" i="8"/>
  <c r="P51" i="8"/>
  <c r="F51" i="8"/>
  <c r="G51" i="8"/>
  <c r="H51" i="8"/>
  <c r="I51" i="8"/>
  <c r="J51" i="8"/>
  <c r="L10" i="10"/>
  <c r="L95" i="10" s="1"/>
  <c r="K4" i="9"/>
  <c r="K7" i="9"/>
  <c r="K8" i="9"/>
  <c r="K9" i="9"/>
  <c r="K10" i="9"/>
  <c r="K11" i="9"/>
  <c r="K12" i="9"/>
  <c r="K13" i="9"/>
  <c r="K15" i="9"/>
  <c r="K19" i="9"/>
  <c r="K22" i="9"/>
  <c r="K24" i="9" s="1"/>
  <c r="L11" i="9"/>
  <c r="L12" i="9"/>
  <c r="M14" i="10"/>
  <c r="L14" i="10"/>
  <c r="N14" i="10"/>
  <c r="O14" i="10"/>
  <c r="P14" i="10"/>
  <c r="Q14" i="10"/>
  <c r="F14" i="10"/>
  <c r="G14" i="10"/>
  <c r="H14" i="10"/>
  <c r="I14" i="10"/>
  <c r="J14" i="10"/>
  <c r="A14" i="10"/>
  <c r="Q11" i="10"/>
  <c r="Q31" i="11" s="1"/>
  <c r="Q13" i="10"/>
  <c r="Q21" i="10"/>
  <c r="Q39" i="11" s="1"/>
  <c r="Q35" i="10"/>
  <c r="N11" i="10"/>
  <c r="N31" i="11" s="1"/>
  <c r="O11" i="10"/>
  <c r="O31" i="11" s="1"/>
  <c r="P11" i="10"/>
  <c r="P31" i="11" s="1"/>
  <c r="L12" i="10"/>
  <c r="L13" i="10"/>
  <c r="L96" i="10" s="1"/>
  <c r="N13" i="10"/>
  <c r="O13" i="10"/>
  <c r="P13" i="10"/>
  <c r="L17" i="10"/>
  <c r="L97" i="10" s="1"/>
  <c r="L19" i="10"/>
  <c r="L37" i="11" s="1"/>
  <c r="L38" i="11"/>
  <c r="L21" i="10"/>
  <c r="L39" i="11" s="1"/>
  <c r="N21" i="10"/>
  <c r="N39" i="11" s="1"/>
  <c r="O21" i="10"/>
  <c r="O39" i="11" s="1"/>
  <c r="P21" i="10"/>
  <c r="P39" i="11" s="1"/>
  <c r="L22" i="10"/>
  <c r="L40" i="11" s="1"/>
  <c r="L35" i="10"/>
  <c r="N35" i="10"/>
  <c r="O35" i="10"/>
  <c r="P35" i="10"/>
  <c r="L36" i="10"/>
  <c r="P4" i="9"/>
  <c r="P5" i="9"/>
  <c r="P7" i="9"/>
  <c r="P8" i="9"/>
  <c r="P9" i="9"/>
  <c r="P10" i="9"/>
  <c r="P11" i="9"/>
  <c r="P12" i="9"/>
  <c r="P13" i="9"/>
  <c r="P15" i="9"/>
  <c r="P22" i="9"/>
  <c r="P24" i="9" s="1"/>
  <c r="M4" i="9"/>
  <c r="N4" i="9"/>
  <c r="O4" i="9"/>
  <c r="M5" i="9"/>
  <c r="N5" i="9"/>
  <c r="O5" i="9"/>
  <c r="M7" i="9"/>
  <c r="N7" i="9"/>
  <c r="O7" i="9"/>
  <c r="M8" i="9"/>
  <c r="N8" i="9"/>
  <c r="O8" i="9"/>
  <c r="M9" i="9"/>
  <c r="N9" i="9"/>
  <c r="O9" i="9"/>
  <c r="M10" i="9"/>
  <c r="N10" i="9"/>
  <c r="O10" i="9"/>
  <c r="M11" i="9"/>
  <c r="N11" i="9"/>
  <c r="O11" i="9"/>
  <c r="M12" i="9"/>
  <c r="N12" i="9"/>
  <c r="O12" i="9"/>
  <c r="M13" i="9"/>
  <c r="N13" i="9"/>
  <c r="O13" i="9"/>
  <c r="M15" i="9"/>
  <c r="N15" i="9"/>
  <c r="O15" i="9"/>
  <c r="M22" i="9"/>
  <c r="M24" i="9" s="1"/>
  <c r="N22" i="9"/>
  <c r="O22" i="9"/>
  <c r="O24" i="9" s="1"/>
  <c r="P29" i="8"/>
  <c r="P66" i="8" s="1"/>
  <c r="P41" i="13" s="1"/>
  <c r="Q29" i="8"/>
  <c r="Q66" i="8" s="1"/>
  <c r="Q41" i="13" s="1"/>
  <c r="R29" i="8"/>
  <c r="R66" i="8" s="1"/>
  <c r="R41" i="13" s="1"/>
  <c r="P30" i="8"/>
  <c r="Q30" i="8"/>
  <c r="R30" i="8"/>
  <c r="P43" i="8"/>
  <c r="Q43" i="8"/>
  <c r="R43" i="8"/>
  <c r="O43" i="8"/>
  <c r="O30" i="8"/>
  <c r="O29" i="8"/>
  <c r="O66" i="8" s="1"/>
  <c r="R19" i="1"/>
  <c r="Q19" i="1"/>
  <c r="P12" i="10" s="1"/>
  <c r="P32" i="11" s="1"/>
  <c r="P19" i="1"/>
  <c r="O12" i="10" s="1"/>
  <c r="O19" i="1"/>
  <c r="N12" i="10" s="1"/>
  <c r="L32" i="8"/>
  <c r="L35" i="8" s="1"/>
  <c r="L55" i="8" s="1"/>
  <c r="O44" i="8" l="1"/>
  <c r="O94" i="8" s="1"/>
  <c r="V84" i="13"/>
  <c r="L33" i="11"/>
  <c r="Q6" i="11"/>
  <c r="Q96" i="10"/>
  <c r="L35" i="11"/>
  <c r="P6" i="11"/>
  <c r="P96" i="10"/>
  <c r="N6" i="11"/>
  <c r="N96" i="10"/>
  <c r="O6" i="11"/>
  <c r="O96" i="10"/>
  <c r="O41" i="13"/>
  <c r="O3" i="13"/>
  <c r="C28" i="10"/>
  <c r="C118" i="10" s="1"/>
  <c r="C27" i="11"/>
  <c r="R32" i="8"/>
  <c r="P19" i="9"/>
  <c r="P23" i="9" s="1"/>
  <c r="L30" i="11"/>
  <c r="L22" i="11" s="1"/>
  <c r="L37" i="10"/>
  <c r="O32" i="11"/>
  <c r="O124" i="10"/>
  <c r="L32" i="11"/>
  <c r="L124" i="10"/>
  <c r="N32" i="11"/>
  <c r="N124" i="10"/>
  <c r="R44" i="8"/>
  <c r="R94" i="8" s="1"/>
  <c r="V87" i="13"/>
  <c r="Q44" i="8"/>
  <c r="Q94" i="8" s="1"/>
  <c r="V86" i="13"/>
  <c r="P44" i="8"/>
  <c r="P94" i="8" s="1"/>
  <c r="V85" i="13"/>
  <c r="Q33" i="11"/>
  <c r="O120" i="10"/>
  <c r="N33" i="11"/>
  <c r="L120" i="10"/>
  <c r="P33" i="11"/>
  <c r="N120" i="10"/>
  <c r="O33" i="11"/>
  <c r="M120" i="10"/>
  <c r="R35" i="8"/>
  <c r="R36" i="8" s="1"/>
  <c r="N10" i="10"/>
  <c r="N95" i="10" s="1"/>
  <c r="N5" i="11"/>
  <c r="P95" i="8"/>
  <c r="P33" i="13" s="1"/>
  <c r="Q10" i="10"/>
  <c r="Q5" i="11"/>
  <c r="P10" i="10"/>
  <c r="P95" i="10" s="1"/>
  <c r="P5" i="11"/>
  <c r="O10" i="10"/>
  <c r="O5" i="11"/>
  <c r="N18" i="10"/>
  <c r="N36" i="11" s="1"/>
  <c r="O95" i="8"/>
  <c r="O33" i="13" s="1"/>
  <c r="P18" i="10"/>
  <c r="P36" i="11" s="1"/>
  <c r="Q95" i="8"/>
  <c r="Q33" i="13" s="1"/>
  <c r="Q18" i="10"/>
  <c r="Q36" i="11" s="1"/>
  <c r="R95" i="8"/>
  <c r="R33" i="13" s="1"/>
  <c r="O52" i="8"/>
  <c r="O98" i="8" s="1"/>
  <c r="P52" i="8"/>
  <c r="P98" i="8" s="1"/>
  <c r="Q52" i="8"/>
  <c r="Q98" i="8" s="1"/>
  <c r="R52" i="8"/>
  <c r="R98" i="8" s="1"/>
  <c r="K6" i="9"/>
  <c r="K14" i="9" s="1"/>
  <c r="K16" i="9" s="1"/>
  <c r="K17" i="9" s="1"/>
  <c r="K20" i="9" s="1"/>
  <c r="K23" i="9"/>
  <c r="N24" i="9"/>
  <c r="O32" i="8"/>
  <c r="O35" i="8" s="1"/>
  <c r="O91" i="8" s="1"/>
  <c r="O29" i="13" s="1"/>
  <c r="L60" i="8"/>
  <c r="L62" i="8" s="1"/>
  <c r="L36" i="8"/>
  <c r="M19" i="9"/>
  <c r="M23" i="9" s="1"/>
  <c r="Q32" i="8"/>
  <c r="Q35" i="8" s="1"/>
  <c r="P32" i="8"/>
  <c r="O19" i="9"/>
  <c r="O23" i="9" s="1"/>
  <c r="Q12" i="10"/>
  <c r="Q32" i="11" s="1"/>
  <c r="N19" i="9"/>
  <c r="N23" i="9" s="1"/>
  <c r="L23" i="10"/>
  <c r="O18" i="10"/>
  <c r="O36" i="11" s="1"/>
  <c r="R39" i="8" l="1"/>
  <c r="Q23" i="10"/>
  <c r="P6" i="9"/>
  <c r="P14" i="9" s="1"/>
  <c r="P16" i="9" s="1"/>
  <c r="P17" i="9" s="1"/>
  <c r="P20" i="9" s="1"/>
  <c r="R91" i="8"/>
  <c r="R29" i="13" s="1"/>
  <c r="S87" i="13" s="1"/>
  <c r="R87" i="13" s="1"/>
  <c r="R30" i="13" s="1"/>
  <c r="O37" i="10"/>
  <c r="O95" i="10"/>
  <c r="Q37" i="10"/>
  <c r="Q95" i="10"/>
  <c r="S84" i="13"/>
  <c r="R84" i="13" s="1"/>
  <c r="O30" i="13" s="1"/>
  <c r="R41" i="8"/>
  <c r="O127" i="10" s="1"/>
  <c r="O41" i="10"/>
  <c r="O55" i="10" s="1"/>
  <c r="N37" i="10"/>
  <c r="P41" i="10"/>
  <c r="P55" i="10" s="1"/>
  <c r="P37" i="10"/>
  <c r="L41" i="11"/>
  <c r="L125" i="10"/>
  <c r="O30" i="11"/>
  <c r="Q41" i="11"/>
  <c r="Q30" i="11"/>
  <c r="N30" i="11"/>
  <c r="P30" i="11"/>
  <c r="P35" i="8"/>
  <c r="N6" i="9" s="1"/>
  <c r="N14" i="9" s="1"/>
  <c r="N16" i="9" s="1"/>
  <c r="N17" i="9" s="1"/>
  <c r="N20" i="9" s="1"/>
  <c r="O106" i="8"/>
  <c r="O107" i="8"/>
  <c r="O108" i="8"/>
  <c r="R108" i="8"/>
  <c r="P48" i="8"/>
  <c r="O22" i="10" s="1"/>
  <c r="O40" i="11" s="1"/>
  <c r="P82" i="8"/>
  <c r="O48" i="8"/>
  <c r="N22" i="10" s="1"/>
  <c r="N40" i="11" s="1"/>
  <c r="O82" i="8"/>
  <c r="Q48" i="8"/>
  <c r="P22" i="10" s="1"/>
  <c r="P40" i="11" s="1"/>
  <c r="Q82" i="8"/>
  <c r="P23" i="10"/>
  <c r="Q91" i="8"/>
  <c r="Q29" i="13" s="1"/>
  <c r="S86" i="13" s="1"/>
  <c r="R86" i="13" s="1"/>
  <c r="Q30" i="13" s="1"/>
  <c r="R48" i="8"/>
  <c r="R82" i="8"/>
  <c r="O39" i="8"/>
  <c r="O41" i="8" s="1"/>
  <c r="M6" i="9"/>
  <c r="M14" i="9" s="1"/>
  <c r="M16" i="9" s="1"/>
  <c r="M17" i="9" s="1"/>
  <c r="M18" i="9" s="1"/>
  <c r="M26" i="9" s="1"/>
  <c r="N23" i="10"/>
  <c r="N125" i="10" s="1"/>
  <c r="O36" i="8"/>
  <c r="K18" i="9"/>
  <c r="Q39" i="8"/>
  <c r="Q36" i="8"/>
  <c r="O6" i="9"/>
  <c r="O14" i="9" s="1"/>
  <c r="O16" i="9" s="1"/>
  <c r="O17" i="9" s="1"/>
  <c r="O18" i="9" s="1"/>
  <c r="P18" i="9"/>
  <c r="M12" i="10"/>
  <c r="M13" i="10"/>
  <c r="M96" i="10" s="1"/>
  <c r="M17" i="10"/>
  <c r="M97" i="10" s="1"/>
  <c r="M19" i="10"/>
  <c r="M37" i="11" s="1"/>
  <c r="M20" i="10"/>
  <c r="M38" i="11" s="1"/>
  <c r="M21" i="10"/>
  <c r="M39" i="11" s="1"/>
  <c r="M22" i="10"/>
  <c r="M40" i="11" s="1"/>
  <c r="M35" i="10"/>
  <c r="M36" i="10"/>
  <c r="M10" i="10"/>
  <c r="M95" i="10" s="1"/>
  <c r="R107" i="8" l="1"/>
  <c r="R106" i="8"/>
  <c r="P91" i="8"/>
  <c r="P29" i="13" s="1"/>
  <c r="S85" i="13" s="1"/>
  <c r="R85" i="13" s="1"/>
  <c r="P30" i="13" s="1"/>
  <c r="M33" i="11"/>
  <c r="M35" i="11"/>
  <c r="P22" i="11"/>
  <c r="O22" i="11"/>
  <c r="N22" i="11"/>
  <c r="Q22" i="11"/>
  <c r="O23" i="10"/>
  <c r="O125" i="10" s="1"/>
  <c r="P36" i="8"/>
  <c r="P39" i="8"/>
  <c r="P41" i="8" s="1"/>
  <c r="M127" i="10" s="1"/>
  <c r="R42" i="8"/>
  <c r="Q41" i="8"/>
  <c r="N127" i="10" s="1"/>
  <c r="O42" i="8"/>
  <c r="L127" i="10"/>
  <c r="Q22" i="10"/>
  <c r="Q40" i="11" s="1"/>
  <c r="M30" i="11"/>
  <c r="M22" i="11" s="1"/>
  <c r="M37" i="10"/>
  <c r="M32" i="11"/>
  <c r="M124" i="10"/>
  <c r="N41" i="11"/>
  <c r="P41" i="11"/>
  <c r="Q106" i="8"/>
  <c r="Q107" i="8"/>
  <c r="Q108" i="8"/>
  <c r="P106" i="8"/>
  <c r="P107" i="8"/>
  <c r="M30" i="9"/>
  <c r="M31" i="9"/>
  <c r="M20" i="9"/>
  <c r="O26" i="9"/>
  <c r="K26" i="9"/>
  <c r="K30" i="9" s="1"/>
  <c r="P26" i="9"/>
  <c r="P31" i="9" s="1"/>
  <c r="H27" i="9" s="1"/>
  <c r="N34" i="10"/>
  <c r="N18" i="9"/>
  <c r="O20" i="9"/>
  <c r="M32" i="8"/>
  <c r="M35" i="8" s="1"/>
  <c r="L7" i="9"/>
  <c r="L8" i="9"/>
  <c r="L9" i="9"/>
  <c r="L10" i="9"/>
  <c r="L13" i="9"/>
  <c r="L15" i="9"/>
  <c r="L19" i="9"/>
  <c r="L22" i="9"/>
  <c r="L24" i="9" s="1"/>
  <c r="K22" i="1"/>
  <c r="J22" i="1"/>
  <c r="F15" i="9"/>
  <c r="G15" i="9"/>
  <c r="I15" i="9"/>
  <c r="J15" i="9"/>
  <c r="P108" i="8" l="1"/>
  <c r="O41" i="11"/>
  <c r="P42" i="8"/>
  <c r="Q42" i="8"/>
  <c r="O38" i="8"/>
  <c r="O92" i="8"/>
  <c r="R38" i="8"/>
  <c r="R92" i="8"/>
  <c r="P34" i="10"/>
  <c r="O30" i="9"/>
  <c r="E27" i="9"/>
  <c r="E28" i="9" s="1"/>
  <c r="E33" i="10" s="1"/>
  <c r="M57" i="10" s="1"/>
  <c r="D27" i="9"/>
  <c r="D28" i="9" s="1"/>
  <c r="D33" i="10" s="1"/>
  <c r="L58" i="10" s="1"/>
  <c r="C27" i="9"/>
  <c r="C28" i="9" s="1"/>
  <c r="C33" i="10" s="1"/>
  <c r="L57" i="10" s="1"/>
  <c r="N27" i="9"/>
  <c r="M27" i="9"/>
  <c r="M28" i="9" s="1"/>
  <c r="N33" i="10" s="1"/>
  <c r="P27" i="9"/>
  <c r="P28" i="9" s="1"/>
  <c r="O27" i="9"/>
  <c r="O28" i="9" s="1"/>
  <c r="P33" i="10" s="1"/>
  <c r="O31" i="9"/>
  <c r="P30" i="9"/>
  <c r="P33" i="9" s="1"/>
  <c r="K31" i="9"/>
  <c r="P22" i="1"/>
  <c r="R22" i="1"/>
  <c r="O22" i="1"/>
  <c r="Q22" i="1"/>
  <c r="M55" i="8"/>
  <c r="M60" i="8" s="1"/>
  <c r="M62" i="8" s="1"/>
  <c r="N26" i="9"/>
  <c r="Q34" i="10"/>
  <c r="L34" i="10"/>
  <c r="M11" i="10"/>
  <c r="M31" i="11" s="1"/>
  <c r="L5" i="9"/>
  <c r="L27" i="9" s="1"/>
  <c r="M30" i="8"/>
  <c r="M18" i="10" s="1"/>
  <c r="M36" i="11" s="1"/>
  <c r="L4" i="9"/>
  <c r="L6" i="9"/>
  <c r="L14" i="9" s="1"/>
  <c r="L16" i="9" s="1"/>
  <c r="L17" i="9" s="1"/>
  <c r="L18" i="9" s="1"/>
  <c r="M23" i="10"/>
  <c r="M36" i="8"/>
  <c r="L23" i="9"/>
  <c r="F35" i="10"/>
  <c r="G35" i="10"/>
  <c r="H35" i="10"/>
  <c r="I35" i="10"/>
  <c r="J35" i="10"/>
  <c r="D39" i="11"/>
  <c r="F21" i="10"/>
  <c r="F39" i="11" s="1"/>
  <c r="G21" i="10"/>
  <c r="G39" i="11" s="1"/>
  <c r="H21" i="10"/>
  <c r="H39" i="11" s="1"/>
  <c r="I21" i="10"/>
  <c r="I39" i="11" s="1"/>
  <c r="J21" i="10"/>
  <c r="J39" i="11" s="1"/>
  <c r="D40" i="11"/>
  <c r="C39" i="11"/>
  <c r="D32" i="11"/>
  <c r="H13" i="10"/>
  <c r="H96" i="10" s="1"/>
  <c r="I13" i="10"/>
  <c r="I96" i="10" s="1"/>
  <c r="J13" i="10"/>
  <c r="J96" i="10" s="1"/>
  <c r="C31" i="11"/>
  <c r="D31" i="11"/>
  <c r="F11" i="10"/>
  <c r="F31" i="11" s="1"/>
  <c r="G11" i="10"/>
  <c r="G31" i="11" s="1"/>
  <c r="H11" i="10"/>
  <c r="H31" i="11" s="1"/>
  <c r="I11" i="10"/>
  <c r="I31" i="11" s="1"/>
  <c r="J11" i="10"/>
  <c r="J31" i="11" s="1"/>
  <c r="J10" i="10"/>
  <c r="D30" i="11"/>
  <c r="E30" i="11"/>
  <c r="F10" i="10"/>
  <c r="F95" i="10" s="1"/>
  <c r="G10" i="10"/>
  <c r="H10" i="10"/>
  <c r="H95" i="10" s="1"/>
  <c r="I10" i="10"/>
  <c r="C30" i="11"/>
  <c r="G22" i="9"/>
  <c r="I22" i="9"/>
  <c r="J22" i="9"/>
  <c r="F22" i="9"/>
  <c r="F24" i="9" s="1"/>
  <c r="G11" i="9"/>
  <c r="I11" i="9"/>
  <c r="J11" i="9"/>
  <c r="G12" i="9"/>
  <c r="I12" i="9"/>
  <c r="J12" i="9"/>
  <c r="G13" i="9"/>
  <c r="I13" i="9"/>
  <c r="J13" i="9"/>
  <c r="F13" i="9"/>
  <c r="F12" i="9"/>
  <c r="F11" i="9"/>
  <c r="J37" i="10" l="1"/>
  <c r="J95" i="10"/>
  <c r="G37" i="10"/>
  <c r="G95" i="10"/>
  <c r="F37" i="10"/>
  <c r="I37" i="10"/>
  <c r="I95" i="10"/>
  <c r="D22" i="11"/>
  <c r="C22" i="11"/>
  <c r="E22" i="11"/>
  <c r="N8" i="11"/>
  <c r="N23" i="11"/>
  <c r="O72" i="8"/>
  <c r="N36" i="10"/>
  <c r="O76" i="8"/>
  <c r="N19" i="10"/>
  <c r="N37" i="11" s="1"/>
  <c r="Q38" i="8"/>
  <c r="Q92" i="8"/>
  <c r="R72" i="8"/>
  <c r="R76" i="8"/>
  <c r="Q19" i="10"/>
  <c r="Q37" i="11" s="1"/>
  <c r="Q36" i="10"/>
  <c r="Q23" i="11"/>
  <c r="Q8" i="11"/>
  <c r="P38" i="8"/>
  <c r="P92" i="8"/>
  <c r="J6" i="11"/>
  <c r="J120" i="10"/>
  <c r="I6" i="11"/>
  <c r="I117" i="10"/>
  <c r="P58" i="10"/>
  <c r="H6" i="11"/>
  <c r="H117" i="10"/>
  <c r="O58" i="10"/>
  <c r="N41" i="10"/>
  <c r="N55" i="10" s="1"/>
  <c r="H37" i="10"/>
  <c r="M41" i="11"/>
  <c r="M125" i="10"/>
  <c r="I30" i="11"/>
  <c r="H30" i="11"/>
  <c r="G30" i="11"/>
  <c r="J30" i="11"/>
  <c r="J33" i="11"/>
  <c r="H33" i="11"/>
  <c r="F30" i="11"/>
  <c r="I33" i="11"/>
  <c r="Q33" i="10"/>
  <c r="O33" i="9"/>
  <c r="N28" i="9"/>
  <c r="O33" i="10" s="1"/>
  <c r="N30" i="9"/>
  <c r="N31" i="9"/>
  <c r="M33" i="9"/>
  <c r="O34" i="10"/>
  <c r="K5" i="9"/>
  <c r="K27" i="9" s="1"/>
  <c r="K33" i="9"/>
  <c r="G24" i="9"/>
  <c r="L26" i="9"/>
  <c r="M34" i="10" s="1"/>
  <c r="L20" i="9"/>
  <c r="L30" i="8"/>
  <c r="L18" i="10" s="1"/>
  <c r="L36" i="11" s="1"/>
  <c r="I24" i="9"/>
  <c r="J24" i="9"/>
  <c r="G10" i="9"/>
  <c r="I10" i="9"/>
  <c r="J10" i="9"/>
  <c r="G9" i="9"/>
  <c r="I9" i="9"/>
  <c r="J9" i="9"/>
  <c r="F8" i="9"/>
  <c r="G8" i="9"/>
  <c r="I8" i="9"/>
  <c r="J8" i="9"/>
  <c r="F7" i="9"/>
  <c r="G7" i="9"/>
  <c r="I7" i="9"/>
  <c r="J7" i="9"/>
  <c r="C23" i="8"/>
  <c r="F43" i="8"/>
  <c r="H43" i="8"/>
  <c r="I43" i="8"/>
  <c r="J43" i="8"/>
  <c r="B32" i="8"/>
  <c r="A32" i="8"/>
  <c r="F10" i="9"/>
  <c r="F9" i="9"/>
  <c r="F5" i="9"/>
  <c r="F27" i="9" s="1"/>
  <c r="G5" i="9"/>
  <c r="G27" i="9" s="1"/>
  <c r="I5" i="9"/>
  <c r="I27" i="9" s="1"/>
  <c r="J5" i="9"/>
  <c r="J27" i="9" s="1"/>
  <c r="F4" i="9"/>
  <c r="G4" i="9"/>
  <c r="I4" i="9"/>
  <c r="J4" i="9"/>
  <c r="C40" i="11"/>
  <c r="F30" i="8"/>
  <c r="G30" i="8"/>
  <c r="G95" i="8" s="1"/>
  <c r="G33" i="13" s="1"/>
  <c r="G34" i="13" s="1"/>
  <c r="H30" i="8"/>
  <c r="H95" i="8" s="1"/>
  <c r="H33" i="13" s="1"/>
  <c r="I30" i="8"/>
  <c r="J30" i="8"/>
  <c r="F29" i="8"/>
  <c r="G29" i="8"/>
  <c r="H29" i="8"/>
  <c r="I29" i="8"/>
  <c r="J29" i="8"/>
  <c r="K19" i="1"/>
  <c r="J19" i="1"/>
  <c r="I19" i="1"/>
  <c r="H19" i="9" s="1"/>
  <c r="H23" i="9" s="1"/>
  <c r="D33" i="11"/>
  <c r="C33" i="11"/>
  <c r="E33" i="11"/>
  <c r="G8" i="1"/>
  <c r="H8" i="1" s="1"/>
  <c r="I8" i="1" s="1"/>
  <c r="G7" i="1"/>
  <c r="H7" i="1" s="1"/>
  <c r="I7" i="1" s="1"/>
  <c r="G6" i="1"/>
  <c r="H6" i="1" s="1"/>
  <c r="I6" i="1" s="1"/>
  <c r="G13" i="10"/>
  <c r="G96" i="10" s="1"/>
  <c r="H19" i="1"/>
  <c r="F13" i="10"/>
  <c r="F96" i="10" s="1"/>
  <c r="G19" i="1"/>
  <c r="C24" i="6"/>
  <c r="G24" i="6"/>
  <c r="H24" i="6"/>
  <c r="F24" i="6"/>
  <c r="H32" i="6"/>
  <c r="G32" i="6"/>
  <c r="J95" i="8" l="1"/>
  <c r="J33" i="13" s="1"/>
  <c r="J52" i="8"/>
  <c r="J98" i="8" s="1"/>
  <c r="Q10" i="11"/>
  <c r="N10" i="11"/>
  <c r="J44" i="8"/>
  <c r="J94" i="8" s="1"/>
  <c r="V82" i="13"/>
  <c r="G22" i="11"/>
  <c r="J22" i="11"/>
  <c r="H22" i="11"/>
  <c r="F22" i="11"/>
  <c r="I22" i="11"/>
  <c r="H34" i="13"/>
  <c r="O34" i="13"/>
  <c r="O23" i="11"/>
  <c r="P76" i="8"/>
  <c r="O36" i="10"/>
  <c r="O8" i="11"/>
  <c r="O19" i="10"/>
  <c r="O37" i="11" s="1"/>
  <c r="P72" i="8"/>
  <c r="Q72" i="8"/>
  <c r="P23" i="11"/>
  <c r="P19" i="10"/>
  <c r="P37" i="11" s="1"/>
  <c r="P8" i="11"/>
  <c r="Q76" i="8"/>
  <c r="P36" i="10"/>
  <c r="N28" i="11"/>
  <c r="N30" i="10" s="1"/>
  <c r="L123" i="10" s="1"/>
  <c r="N25" i="11"/>
  <c r="N26" i="11"/>
  <c r="N29" i="10" s="1"/>
  <c r="L122" i="10" s="1"/>
  <c r="Q25" i="11"/>
  <c r="Q26" i="11"/>
  <c r="Q29" i="10" s="1"/>
  <c r="O122" i="10" s="1"/>
  <c r="Q28" i="11"/>
  <c r="Q30" i="10" s="1"/>
  <c r="O123" i="10" s="1"/>
  <c r="F6" i="11"/>
  <c r="F117" i="10"/>
  <c r="P60" i="10"/>
  <c r="L69" i="10" s="1"/>
  <c r="G6" i="11"/>
  <c r="G117" i="10"/>
  <c r="O60" i="10"/>
  <c r="L68" i="10" s="1"/>
  <c r="H44" i="8"/>
  <c r="H94" i="8" s="1"/>
  <c r="V80" i="13"/>
  <c r="I44" i="8"/>
  <c r="I94" i="8" s="1"/>
  <c r="V81" i="13"/>
  <c r="G44" i="8"/>
  <c r="G94" i="8" s="1"/>
  <c r="V78" i="13"/>
  <c r="F44" i="8"/>
  <c r="F94" i="8" s="1"/>
  <c r="V77" i="13"/>
  <c r="F33" i="11"/>
  <c r="G33" i="11"/>
  <c r="J66" i="8"/>
  <c r="J5" i="11"/>
  <c r="I66" i="8"/>
  <c r="I5" i="11"/>
  <c r="H66" i="8"/>
  <c r="H5" i="11"/>
  <c r="G66" i="8"/>
  <c r="G5" i="11"/>
  <c r="F66" i="8"/>
  <c r="F5" i="11"/>
  <c r="P33" i="8"/>
  <c r="O17" i="10" s="1"/>
  <c r="O97" i="10" s="1"/>
  <c r="Q33" i="8"/>
  <c r="R33" i="8"/>
  <c r="O33" i="8"/>
  <c r="E33" i="8"/>
  <c r="C33" i="8"/>
  <c r="D33" i="8"/>
  <c r="Q87" i="8"/>
  <c r="D87" i="8"/>
  <c r="H87" i="8"/>
  <c r="F87" i="8"/>
  <c r="J87" i="8"/>
  <c r="G87" i="8"/>
  <c r="R87" i="8"/>
  <c r="O87" i="8"/>
  <c r="E87" i="8"/>
  <c r="I87" i="8"/>
  <c r="C87" i="8"/>
  <c r="P87" i="8"/>
  <c r="I52" i="8"/>
  <c r="I98" i="8" s="1"/>
  <c r="I95" i="8"/>
  <c r="I33" i="13" s="1"/>
  <c r="F52" i="8"/>
  <c r="F98" i="8" s="1"/>
  <c r="F95" i="8"/>
  <c r="F33" i="13" s="1"/>
  <c r="N33" i="9"/>
  <c r="L31" i="9"/>
  <c r="L30" i="9"/>
  <c r="K28" i="9"/>
  <c r="L33" i="10" s="1"/>
  <c r="E36" i="11"/>
  <c r="E40" i="11"/>
  <c r="H18" i="10"/>
  <c r="H36" i="11" s="1"/>
  <c r="H52" i="8"/>
  <c r="H98" i="8" s="1"/>
  <c r="D36" i="11"/>
  <c r="G18" i="10"/>
  <c r="G36" i="11" s="1"/>
  <c r="G52" i="8"/>
  <c r="G98" i="8" s="1"/>
  <c r="J18" i="10"/>
  <c r="J36" i="11" s="1"/>
  <c r="L28" i="9"/>
  <c r="M33" i="10" s="1"/>
  <c r="I18" i="10"/>
  <c r="I36" i="11" s="1"/>
  <c r="F32" i="8"/>
  <c r="F19" i="9"/>
  <c r="F23" i="9" s="1"/>
  <c r="F12" i="10"/>
  <c r="E32" i="11"/>
  <c r="H32" i="8"/>
  <c r="H12" i="10"/>
  <c r="C41" i="11"/>
  <c r="I32" i="8"/>
  <c r="I35" i="8" s="1"/>
  <c r="I12" i="10"/>
  <c r="I19" i="9"/>
  <c r="I23" i="9" s="1"/>
  <c r="G32" i="8"/>
  <c r="G35" i="8" s="1"/>
  <c r="G91" i="8" s="1"/>
  <c r="G29" i="13" s="1"/>
  <c r="S78" i="13" s="1"/>
  <c r="G12" i="10"/>
  <c r="G19" i="9"/>
  <c r="G23" i="9" s="1"/>
  <c r="J32" i="8"/>
  <c r="J35" i="8" s="1"/>
  <c r="J91" i="8" s="1"/>
  <c r="J29" i="13" s="1"/>
  <c r="J19" i="9"/>
  <c r="J23" i="9" s="1"/>
  <c r="J12" i="10"/>
  <c r="C36" i="11"/>
  <c r="C32" i="11"/>
  <c r="F18" i="10"/>
  <c r="F36" i="11" s="1"/>
  <c r="E17" i="10" l="1"/>
  <c r="E97" i="10" s="1"/>
  <c r="N17" i="10"/>
  <c r="N97" i="10" s="1"/>
  <c r="P17" i="10"/>
  <c r="P97" i="10" s="1"/>
  <c r="O10" i="11"/>
  <c r="P10" i="11"/>
  <c r="H3" i="13"/>
  <c r="H41" i="13"/>
  <c r="R78" i="13"/>
  <c r="G30" i="13" s="1"/>
  <c r="Q27" i="11"/>
  <c r="Q28" i="10"/>
  <c r="O121" i="10" s="1"/>
  <c r="O26" i="11"/>
  <c r="O29" i="10" s="1"/>
  <c r="M122" i="10" s="1"/>
  <c r="O28" i="11"/>
  <c r="O30" i="10" s="1"/>
  <c r="M123" i="10" s="1"/>
  <c r="O25" i="11"/>
  <c r="F41" i="13"/>
  <c r="F3" i="13"/>
  <c r="S82" i="13"/>
  <c r="R82" i="13" s="1"/>
  <c r="J30" i="13" s="1"/>
  <c r="G3" i="13"/>
  <c r="G41" i="13"/>
  <c r="I3" i="13"/>
  <c r="I41" i="13"/>
  <c r="P26" i="11"/>
  <c r="P29" i="10" s="1"/>
  <c r="N122" i="10" s="1"/>
  <c r="P25" i="11"/>
  <c r="P28" i="11"/>
  <c r="P30" i="10" s="1"/>
  <c r="N123" i="10" s="1"/>
  <c r="J41" i="13"/>
  <c r="J3" i="13"/>
  <c r="N28" i="10"/>
  <c r="L121" i="10" s="1"/>
  <c r="N27" i="11"/>
  <c r="Q17" i="10"/>
  <c r="O134" i="10" s="1"/>
  <c r="C17" i="10"/>
  <c r="C97" i="10" s="1"/>
  <c r="I34" i="13"/>
  <c r="P34" i="13"/>
  <c r="Q60" i="10"/>
  <c r="Q61" i="10" s="1"/>
  <c r="Q58" i="10"/>
  <c r="F32" i="11"/>
  <c r="F121" i="10"/>
  <c r="I32" i="11"/>
  <c r="I121" i="10"/>
  <c r="N35" i="11"/>
  <c r="L134" i="10"/>
  <c r="H32" i="11"/>
  <c r="H121" i="10"/>
  <c r="O35" i="11"/>
  <c r="M134" i="10"/>
  <c r="J32" i="11"/>
  <c r="J124" i="10"/>
  <c r="G32" i="11"/>
  <c r="G121" i="10"/>
  <c r="J108" i="8"/>
  <c r="J106" i="8"/>
  <c r="J107" i="8"/>
  <c r="J33" i="8"/>
  <c r="G106" i="8"/>
  <c r="G107" i="8"/>
  <c r="G108" i="8"/>
  <c r="G33" i="8"/>
  <c r="D17" i="10"/>
  <c r="D97" i="10" s="1"/>
  <c r="G48" i="8"/>
  <c r="G22" i="10" s="1"/>
  <c r="G40" i="11" s="1"/>
  <c r="O99" i="8"/>
  <c r="O90" i="8"/>
  <c r="F48" i="8"/>
  <c r="F22" i="10" s="1"/>
  <c r="F40" i="11" s="1"/>
  <c r="C99" i="8"/>
  <c r="C90" i="8"/>
  <c r="J48" i="8"/>
  <c r="J22" i="10" s="1"/>
  <c r="J40" i="11" s="1"/>
  <c r="G99" i="8"/>
  <c r="D99" i="8"/>
  <c r="D90" i="8"/>
  <c r="P99" i="8"/>
  <c r="P90" i="8"/>
  <c r="I39" i="8"/>
  <c r="I91" i="8"/>
  <c r="I29" i="13" s="1"/>
  <c r="S81" i="13" s="1"/>
  <c r="R81" i="13" s="1"/>
  <c r="I30" i="13" s="1"/>
  <c r="R99" i="8"/>
  <c r="R90" i="8"/>
  <c r="H90" i="8"/>
  <c r="I48" i="8"/>
  <c r="I22" i="10" s="1"/>
  <c r="I40" i="11" s="1"/>
  <c r="E99" i="8"/>
  <c r="E90" i="8"/>
  <c r="J99" i="8"/>
  <c r="Q99" i="8"/>
  <c r="Q90" i="8"/>
  <c r="L33" i="9"/>
  <c r="H48" i="8"/>
  <c r="H22" i="10" s="1"/>
  <c r="H40" i="11" s="1"/>
  <c r="F35" i="8"/>
  <c r="F91" i="8" s="1"/>
  <c r="F29" i="13" s="1"/>
  <c r="S77" i="13" s="1"/>
  <c r="R77" i="13" s="1"/>
  <c r="D41" i="11"/>
  <c r="H35" i="8"/>
  <c r="O61" i="10" l="1"/>
  <c r="E131" i="10"/>
  <c r="E35" i="11"/>
  <c r="P61" i="10"/>
  <c r="C35" i="11"/>
  <c r="N134" i="10"/>
  <c r="P35" i="11"/>
  <c r="R102" i="8"/>
  <c r="R7" i="13" s="1"/>
  <c r="R8" i="13" s="1"/>
  <c r="C131" i="10"/>
  <c r="L70" i="10"/>
  <c r="Q35" i="11"/>
  <c r="Q97" i="10"/>
  <c r="C102" i="8"/>
  <c r="C19" i="13" s="1"/>
  <c r="C20" i="13" s="1"/>
  <c r="P28" i="10"/>
  <c r="N121" i="10" s="1"/>
  <c r="P27" i="11"/>
  <c r="Q34" i="13"/>
  <c r="J34" i="13"/>
  <c r="R34" i="13" s="1"/>
  <c r="O27" i="11"/>
  <c r="O28" i="10"/>
  <c r="M121" i="10" s="1"/>
  <c r="Q59" i="10"/>
  <c r="L59" i="10"/>
  <c r="O59" i="10"/>
  <c r="P59" i="10"/>
  <c r="D35" i="11"/>
  <c r="D131" i="10"/>
  <c r="R35" i="13"/>
  <c r="F99" i="8"/>
  <c r="F106" i="8"/>
  <c r="F107" i="8"/>
  <c r="F108" i="8"/>
  <c r="F33" i="8"/>
  <c r="I99" i="8"/>
  <c r="I106" i="8"/>
  <c r="I107" i="8"/>
  <c r="I108" i="8"/>
  <c r="I33" i="8"/>
  <c r="G17" i="10"/>
  <c r="G97" i="10" s="1"/>
  <c r="J17" i="10"/>
  <c r="J97" i="10" s="1"/>
  <c r="O102" i="8"/>
  <c r="Q102" i="8"/>
  <c r="D102" i="8"/>
  <c r="I90" i="8"/>
  <c r="P102" i="8"/>
  <c r="F90" i="8"/>
  <c r="E102" i="8"/>
  <c r="J90" i="8"/>
  <c r="J102" i="8" s="1"/>
  <c r="G90" i="8"/>
  <c r="G102" i="8" s="1"/>
  <c r="H6" i="9"/>
  <c r="H14" i="9" s="1"/>
  <c r="H16" i="9" s="1"/>
  <c r="H17" i="9" s="1"/>
  <c r="H20" i="9" s="1"/>
  <c r="H91" i="8"/>
  <c r="H29" i="13" s="1"/>
  <c r="S80" i="13" s="1"/>
  <c r="R80" i="13" s="1"/>
  <c r="H30" i="13" s="1"/>
  <c r="D37" i="11"/>
  <c r="G23" i="10"/>
  <c r="G122" i="10" s="1"/>
  <c r="G39" i="8"/>
  <c r="G6" i="9"/>
  <c r="G14" i="9" s="1"/>
  <c r="G16" i="9" s="1"/>
  <c r="G36" i="8"/>
  <c r="F39" i="8"/>
  <c r="F41" i="8" s="1"/>
  <c r="F23" i="10"/>
  <c r="F122" i="10" s="1"/>
  <c r="F6" i="9"/>
  <c r="F36" i="8"/>
  <c r="H23" i="10"/>
  <c r="H122" i="10" s="1"/>
  <c r="H36" i="8"/>
  <c r="H39" i="8"/>
  <c r="J6" i="9"/>
  <c r="J14" i="9" s="1"/>
  <c r="J16" i="9" s="1"/>
  <c r="J23" i="10"/>
  <c r="J125" i="10" s="1"/>
  <c r="J36" i="8"/>
  <c r="J39" i="8"/>
  <c r="J41" i="8" s="1"/>
  <c r="E41" i="11"/>
  <c r="C37" i="11"/>
  <c r="I6" i="9"/>
  <c r="I14" i="9" s="1"/>
  <c r="I41" i="8"/>
  <c r="I36" i="8"/>
  <c r="I23" i="10"/>
  <c r="I122" i="10" s="1"/>
  <c r="F16" i="6"/>
  <c r="R15" i="13" l="1"/>
  <c r="R16" i="13" s="1"/>
  <c r="R19" i="13"/>
  <c r="R20" i="13" s="1"/>
  <c r="R31" i="13"/>
  <c r="R32" i="13" s="1"/>
  <c r="R23" i="13"/>
  <c r="R24" i="13" s="1"/>
  <c r="Q12" i="11"/>
  <c r="R11" i="13"/>
  <c r="R12" i="13" s="1"/>
  <c r="R36" i="13"/>
  <c r="C15" i="13"/>
  <c r="C16" i="13" s="1"/>
  <c r="D35" i="13"/>
  <c r="D36" i="13" s="1"/>
  <c r="C12" i="11"/>
  <c r="C11" i="13"/>
  <c r="C12" i="13" s="1"/>
  <c r="C7" i="13"/>
  <c r="C8" i="13" s="1"/>
  <c r="I102" i="8"/>
  <c r="I11" i="13" s="1"/>
  <c r="I12" i="13" s="1"/>
  <c r="C23" i="13"/>
  <c r="C24" i="13" s="1"/>
  <c r="C31" i="13"/>
  <c r="C32" i="13" s="1"/>
  <c r="C35" i="13"/>
  <c r="C36" i="13" s="1"/>
  <c r="G41" i="8"/>
  <c r="G124" i="10" s="1"/>
  <c r="J42" i="8"/>
  <c r="J127" i="10"/>
  <c r="O15" i="13"/>
  <c r="O16" i="13" s="1"/>
  <c r="O7" i="13"/>
  <c r="O8" i="13" s="1"/>
  <c r="O11" i="13"/>
  <c r="O12" i="13" s="1"/>
  <c r="O23" i="13"/>
  <c r="O24" i="13" s="1"/>
  <c r="O19" i="13"/>
  <c r="O20" i="13" s="1"/>
  <c r="O35" i="13"/>
  <c r="O36" i="13" s="1"/>
  <c r="O31" i="13"/>
  <c r="O32" i="13" s="1"/>
  <c r="J15" i="13"/>
  <c r="J16" i="13" s="1"/>
  <c r="J19" i="13"/>
  <c r="J20" i="13" s="1"/>
  <c r="J11" i="13"/>
  <c r="J12" i="13" s="1"/>
  <c r="J23" i="13"/>
  <c r="J24" i="13" s="1"/>
  <c r="J7" i="13"/>
  <c r="J8" i="13" s="1"/>
  <c r="J35" i="13"/>
  <c r="J36" i="13" s="1"/>
  <c r="J31" i="13"/>
  <c r="J32" i="13" s="1"/>
  <c r="J35" i="11"/>
  <c r="J134" i="10"/>
  <c r="G35" i="11"/>
  <c r="G131" i="10"/>
  <c r="D23" i="13"/>
  <c r="D24" i="13" s="1"/>
  <c r="D11" i="13"/>
  <c r="D12" i="13" s="1"/>
  <c r="D19" i="13"/>
  <c r="D20" i="13" s="1"/>
  <c r="D15" i="13"/>
  <c r="D16" i="13" s="1"/>
  <c r="D31" i="13"/>
  <c r="D32" i="13" s="1"/>
  <c r="D7" i="13"/>
  <c r="D8" i="13" s="1"/>
  <c r="E12" i="11"/>
  <c r="E35" i="13"/>
  <c r="E36" i="13" s="1"/>
  <c r="E11" i="13"/>
  <c r="E12" i="13" s="1"/>
  <c r="E19" i="13"/>
  <c r="E20" i="13" s="1"/>
  <c r="E7" i="13"/>
  <c r="E8" i="13" s="1"/>
  <c r="E23" i="13"/>
  <c r="E24" i="13" s="1"/>
  <c r="E31" i="13"/>
  <c r="E32" i="13" s="1"/>
  <c r="E15" i="13"/>
  <c r="E16" i="13" s="1"/>
  <c r="Q7" i="13"/>
  <c r="Q8" i="13" s="1"/>
  <c r="Q35" i="13"/>
  <c r="Q36" i="13" s="1"/>
  <c r="Q15" i="13"/>
  <c r="Q16" i="13" s="1"/>
  <c r="Q19" i="13"/>
  <c r="Q20" i="13" s="1"/>
  <c r="Q23" i="13"/>
  <c r="Q24" i="13" s="1"/>
  <c r="Q31" i="13"/>
  <c r="Q32" i="13" s="1"/>
  <c r="Q11" i="13"/>
  <c r="Q12" i="13" s="1"/>
  <c r="P11" i="13"/>
  <c r="P12" i="13" s="1"/>
  <c r="P19" i="13"/>
  <c r="P20" i="13" s="1"/>
  <c r="P23" i="13"/>
  <c r="P24" i="13" s="1"/>
  <c r="P31" i="13"/>
  <c r="P32" i="13" s="1"/>
  <c r="P7" i="13"/>
  <c r="P8" i="13" s="1"/>
  <c r="P35" i="13"/>
  <c r="P36" i="13" s="1"/>
  <c r="P15" i="13"/>
  <c r="P16" i="13" s="1"/>
  <c r="I42" i="8"/>
  <c r="I92" i="8" s="1"/>
  <c r="I124" i="10"/>
  <c r="I35" i="13"/>
  <c r="I36" i="13" s="1"/>
  <c r="G35" i="13"/>
  <c r="G36" i="13" s="1"/>
  <c r="G15" i="13"/>
  <c r="G16" i="13" s="1"/>
  <c r="G31" i="13"/>
  <c r="G32" i="13" s="1"/>
  <c r="G23" i="13"/>
  <c r="G24" i="13" s="1"/>
  <c r="G19" i="13"/>
  <c r="G20" i="13" s="1"/>
  <c r="G7" i="13"/>
  <c r="G8" i="13" s="1"/>
  <c r="G11" i="13"/>
  <c r="G12" i="13" s="1"/>
  <c r="F42" i="8"/>
  <c r="F124" i="10"/>
  <c r="F41" i="11"/>
  <c r="G41" i="11"/>
  <c r="I41" i="11"/>
  <c r="J41" i="11"/>
  <c r="H41" i="11"/>
  <c r="H106" i="8"/>
  <c r="H107" i="8"/>
  <c r="H108" i="8"/>
  <c r="H33" i="8"/>
  <c r="I17" i="10"/>
  <c r="I97" i="10" s="1"/>
  <c r="F17" i="10"/>
  <c r="F97" i="10" s="1"/>
  <c r="P12" i="11"/>
  <c r="O12" i="11"/>
  <c r="N12" i="11"/>
  <c r="J12" i="11"/>
  <c r="G12" i="11"/>
  <c r="D12" i="11"/>
  <c r="H99" i="8"/>
  <c r="H102" i="8" s="1"/>
  <c r="F102" i="8"/>
  <c r="H18" i="9"/>
  <c r="H26" i="9" s="1"/>
  <c r="H31" i="9" s="1"/>
  <c r="I16" i="9"/>
  <c r="I17" i="9" s="1"/>
  <c r="F14" i="9"/>
  <c r="F16" i="9" s="1"/>
  <c r="F17" i="9" s="1"/>
  <c r="F18" i="9" s="1"/>
  <c r="H41" i="8"/>
  <c r="G17" i="9"/>
  <c r="J17" i="9"/>
  <c r="J20" i="9" s="1"/>
  <c r="C16" i="6"/>
  <c r="G22" i="6"/>
  <c r="H22" i="6"/>
  <c r="F21" i="6"/>
  <c r="G23" i="6"/>
  <c r="G21" i="6"/>
  <c r="H23" i="6"/>
  <c r="F23" i="6"/>
  <c r="H21" i="6"/>
  <c r="F22" i="6"/>
  <c r="R37" i="13" l="1"/>
  <c r="R40" i="13" s="1"/>
  <c r="Q27" i="10" s="1"/>
  <c r="I23" i="13"/>
  <c r="I24" i="13" s="1"/>
  <c r="I19" i="13"/>
  <c r="I20" i="13" s="1"/>
  <c r="C37" i="13"/>
  <c r="C40" i="13" s="1"/>
  <c r="C27" i="10" s="1"/>
  <c r="C98" i="10" s="1"/>
  <c r="I7" i="13"/>
  <c r="I8" i="13" s="1"/>
  <c r="I15" i="13"/>
  <c r="I16" i="13" s="1"/>
  <c r="I31" i="13"/>
  <c r="I32" i="13" s="1"/>
  <c r="I12" i="11"/>
  <c r="O133" i="10"/>
  <c r="Q98" i="10"/>
  <c r="C46" i="8"/>
  <c r="C80" i="8" s="1"/>
  <c r="C96" i="8" s="1"/>
  <c r="F92" i="8"/>
  <c r="I46" i="8"/>
  <c r="E46" i="8"/>
  <c r="J38" i="8"/>
  <c r="J92" i="8"/>
  <c r="J37" i="13"/>
  <c r="J40" i="13" s="1"/>
  <c r="J27" i="10" s="1"/>
  <c r="O37" i="13"/>
  <c r="O40" i="13" s="1"/>
  <c r="N27" i="10" s="1"/>
  <c r="Q46" i="8"/>
  <c r="Q84" i="8" s="1"/>
  <c r="G42" i="8"/>
  <c r="D37" i="13"/>
  <c r="D40" i="13" s="1"/>
  <c r="D27" i="10" s="1"/>
  <c r="D98" i="10" s="1"/>
  <c r="F35" i="11"/>
  <c r="F131" i="10"/>
  <c r="I35" i="11"/>
  <c r="I131" i="10"/>
  <c r="E37" i="13"/>
  <c r="E40" i="13" s="1"/>
  <c r="E27" i="10" s="1"/>
  <c r="E98" i="10" s="1"/>
  <c r="F46" i="8"/>
  <c r="F38" i="8"/>
  <c r="F72" i="8" s="1"/>
  <c r="R46" i="8"/>
  <c r="Q20" i="10" s="1"/>
  <c r="Q38" i="11" s="1"/>
  <c r="H46" i="8"/>
  <c r="I21" i="8"/>
  <c r="G46" i="8"/>
  <c r="P46" i="8"/>
  <c r="O20" i="10" s="1"/>
  <c r="O38" i="11" s="1"/>
  <c r="D46" i="8"/>
  <c r="J46" i="8"/>
  <c r="O46" i="8"/>
  <c r="O80" i="8" s="1"/>
  <c r="Q37" i="13"/>
  <c r="Q40" i="13" s="1"/>
  <c r="P27" i="10" s="1"/>
  <c r="P37" i="13"/>
  <c r="P40" i="13" s="1"/>
  <c r="O27" i="10" s="1"/>
  <c r="H19" i="13"/>
  <c r="H20" i="13" s="1"/>
  <c r="H11" i="13"/>
  <c r="H12" i="13" s="1"/>
  <c r="H15" i="13"/>
  <c r="H16" i="13" s="1"/>
  <c r="H23" i="13"/>
  <c r="H24" i="13" s="1"/>
  <c r="H31" i="13"/>
  <c r="H32" i="13" s="1"/>
  <c r="H7" i="13"/>
  <c r="H8" i="13" s="1"/>
  <c r="H35" i="13"/>
  <c r="H36" i="13" s="1"/>
  <c r="H42" i="8"/>
  <c r="H124" i="10"/>
  <c r="I38" i="8"/>
  <c r="G37" i="13"/>
  <c r="G40" i="13" s="1"/>
  <c r="G27" i="10" s="1"/>
  <c r="F23" i="13"/>
  <c r="F24" i="13" s="1"/>
  <c r="F11" i="13"/>
  <c r="F12" i="13" s="1"/>
  <c r="F31" i="13"/>
  <c r="F32" i="13" s="1"/>
  <c r="F7" i="13"/>
  <c r="F8" i="13" s="1"/>
  <c r="F35" i="13"/>
  <c r="F36" i="13" s="1"/>
  <c r="F19" i="13"/>
  <c r="F20" i="13" s="1"/>
  <c r="F15" i="13"/>
  <c r="F16" i="13" s="1"/>
  <c r="H17" i="10"/>
  <c r="H97" i="10" s="1"/>
  <c r="H12" i="11"/>
  <c r="F12" i="11"/>
  <c r="H34" i="10"/>
  <c r="H30" i="9"/>
  <c r="H33" i="9" s="1"/>
  <c r="H28" i="9"/>
  <c r="H33" i="10" s="1"/>
  <c r="I18" i="9"/>
  <c r="I26" i="9" s="1"/>
  <c r="I34" i="10" s="1"/>
  <c r="I20" i="9"/>
  <c r="G20" i="9"/>
  <c r="G18" i="9"/>
  <c r="E33" i="9"/>
  <c r="E37" i="11"/>
  <c r="F26" i="9"/>
  <c r="F30" i="9" s="1"/>
  <c r="F20" i="9"/>
  <c r="J18" i="9"/>
  <c r="G25" i="6"/>
  <c r="G26" i="6" s="1"/>
  <c r="G33" i="6" s="1"/>
  <c r="H25" i="6"/>
  <c r="C23" i="6"/>
  <c r="E21" i="6"/>
  <c r="E22" i="6"/>
  <c r="D22" i="6"/>
  <c r="D21" i="6"/>
  <c r="E23" i="6"/>
  <c r="D23" i="6"/>
  <c r="C22" i="6"/>
  <c r="C21" i="6"/>
  <c r="F25" i="6"/>
  <c r="G84" i="8" l="1"/>
  <c r="G80" i="8"/>
  <c r="G96" i="8" s="1"/>
  <c r="J20" i="10"/>
  <c r="J38" i="11" s="1"/>
  <c r="J80" i="8"/>
  <c r="J96" i="8" s="1"/>
  <c r="F20" i="10"/>
  <c r="F38" i="11" s="1"/>
  <c r="F80" i="8"/>
  <c r="F96" i="8" s="1"/>
  <c r="D84" i="8"/>
  <c r="D80" i="8"/>
  <c r="D96" i="8" s="1"/>
  <c r="H20" i="10"/>
  <c r="H38" i="11" s="1"/>
  <c r="H80" i="8"/>
  <c r="H96" i="8" s="1"/>
  <c r="E84" i="8"/>
  <c r="E80" i="8"/>
  <c r="E96" i="8" s="1"/>
  <c r="I20" i="10"/>
  <c r="I38" i="11" s="1"/>
  <c r="I80" i="8"/>
  <c r="I96" i="8" s="1"/>
  <c r="C130" i="10"/>
  <c r="I37" i="13"/>
  <c r="I40" i="13" s="1"/>
  <c r="I27" i="10" s="1"/>
  <c r="I130" i="10" s="1"/>
  <c r="C20" i="10"/>
  <c r="C38" i="11" s="1"/>
  <c r="F84" i="8"/>
  <c r="H84" i="8"/>
  <c r="Q80" i="8"/>
  <c r="Q96" i="8" s="1"/>
  <c r="P20" i="10"/>
  <c r="P38" i="11" s="1"/>
  <c r="C84" i="8"/>
  <c r="C88" i="8" s="1"/>
  <c r="E20" i="10"/>
  <c r="E38" i="11" s="1"/>
  <c r="J133" i="10"/>
  <c r="J98" i="10"/>
  <c r="M133" i="10"/>
  <c r="O98" i="10"/>
  <c r="E130" i="10"/>
  <c r="G130" i="10"/>
  <c r="G98" i="10"/>
  <c r="L133" i="10"/>
  <c r="N98" i="10"/>
  <c r="N133" i="10"/>
  <c r="P98" i="10"/>
  <c r="D130" i="10"/>
  <c r="I84" i="8"/>
  <c r="D20" i="10"/>
  <c r="D38" i="11" s="1"/>
  <c r="R80" i="8"/>
  <c r="R96" i="8" s="1"/>
  <c r="P84" i="8"/>
  <c r="G38" i="8"/>
  <c r="G92" i="8"/>
  <c r="R84" i="8"/>
  <c r="P80" i="8"/>
  <c r="P96" i="8" s="1"/>
  <c r="H38" i="8"/>
  <c r="H92" i="8"/>
  <c r="J8" i="11"/>
  <c r="J23" i="11"/>
  <c r="J19" i="10"/>
  <c r="J37" i="11" s="1"/>
  <c r="J76" i="8"/>
  <c r="J72" i="8"/>
  <c r="J36" i="10"/>
  <c r="N57" i="10"/>
  <c r="H35" i="11"/>
  <c r="H131" i="10"/>
  <c r="N20" i="10"/>
  <c r="N38" i="11" s="1"/>
  <c r="G20" i="10"/>
  <c r="G38" i="11" s="1"/>
  <c r="F23" i="11"/>
  <c r="F25" i="11" s="1"/>
  <c r="F19" i="10"/>
  <c r="F37" i="11" s="1"/>
  <c r="J84" i="8"/>
  <c r="O84" i="8"/>
  <c r="O88" i="8" s="1"/>
  <c r="F76" i="8"/>
  <c r="F8" i="11"/>
  <c r="F36" i="10"/>
  <c r="H37" i="13"/>
  <c r="H40" i="13" s="1"/>
  <c r="H27" i="10" s="1"/>
  <c r="I23" i="11"/>
  <c r="I72" i="8"/>
  <c r="I19" i="10"/>
  <c r="I37" i="11" s="1"/>
  <c r="I36" i="10"/>
  <c r="I76" i="8"/>
  <c r="I8" i="11"/>
  <c r="F37" i="13"/>
  <c r="F40" i="13" s="1"/>
  <c r="F27" i="10" s="1"/>
  <c r="F98" i="10" s="1"/>
  <c r="O96" i="8"/>
  <c r="I28" i="9"/>
  <c r="I33" i="10" s="1"/>
  <c r="I31" i="9"/>
  <c r="I30" i="9"/>
  <c r="G26" i="9"/>
  <c r="G30" i="9" s="1"/>
  <c r="F31" i="9"/>
  <c r="F28" i="9"/>
  <c r="F33" i="10" s="1"/>
  <c r="F34" i="10"/>
  <c r="C33" i="9"/>
  <c r="J26" i="9"/>
  <c r="J34" i="10" s="1"/>
  <c r="G27" i="6"/>
  <c r="G34" i="6" s="1"/>
  <c r="H26" i="6"/>
  <c r="H33" i="6" s="1"/>
  <c r="H27" i="6"/>
  <c r="H34" i="6" s="1"/>
  <c r="F26" i="6"/>
  <c r="F33" i="6" s="1"/>
  <c r="F27" i="6"/>
  <c r="F34" i="6" s="1"/>
  <c r="I98" i="10" l="1"/>
  <c r="Q88" i="8"/>
  <c r="Q100" i="8" s="1"/>
  <c r="P9" i="11" s="1"/>
  <c r="R88" i="8"/>
  <c r="R100" i="8" s="1"/>
  <c r="R103" i="8" s="1"/>
  <c r="F26" i="11"/>
  <c r="F29" i="10" s="1"/>
  <c r="F119" i="10" s="1"/>
  <c r="D88" i="8"/>
  <c r="I88" i="8"/>
  <c r="I100" i="8" s="1"/>
  <c r="I103" i="8" s="1"/>
  <c r="E88" i="8"/>
  <c r="E100" i="8" s="1"/>
  <c r="E103" i="8" s="1"/>
  <c r="J88" i="8"/>
  <c r="J100" i="8" s="1"/>
  <c r="J103" i="8" s="1"/>
  <c r="J10" i="11"/>
  <c r="I10" i="11"/>
  <c r="F10" i="11"/>
  <c r="F88" i="8"/>
  <c r="F100" i="8" s="1"/>
  <c r="F103" i="8" s="1"/>
  <c r="F28" i="11"/>
  <c r="F30" i="10" s="1"/>
  <c r="F120" i="10" s="1"/>
  <c r="H130" i="10"/>
  <c r="H98" i="10"/>
  <c r="F130" i="10"/>
  <c r="H36" i="10"/>
  <c r="H19" i="10"/>
  <c r="H37" i="11" s="1"/>
  <c r="J25" i="11"/>
  <c r="J28" i="11"/>
  <c r="J30" i="10" s="1"/>
  <c r="J123" i="10" s="1"/>
  <c r="J26" i="11"/>
  <c r="J29" i="10" s="1"/>
  <c r="J122" i="10" s="1"/>
  <c r="P88" i="8"/>
  <c r="P100" i="8" s="1"/>
  <c r="O9" i="11" s="1"/>
  <c r="H72" i="8"/>
  <c r="H8" i="11"/>
  <c r="G19" i="10"/>
  <c r="G37" i="11" s="1"/>
  <c r="G23" i="11"/>
  <c r="G72" i="8"/>
  <c r="G8" i="11"/>
  <c r="G76" i="8"/>
  <c r="G36" i="10"/>
  <c r="H23" i="11"/>
  <c r="H25" i="11" s="1"/>
  <c r="H76" i="8"/>
  <c r="O100" i="8"/>
  <c r="O103" i="8" s="1"/>
  <c r="N58" i="10"/>
  <c r="M58" i="10"/>
  <c r="D100" i="8"/>
  <c r="D9" i="11" s="1"/>
  <c r="I26" i="11"/>
  <c r="I29" i="10" s="1"/>
  <c r="I119" i="10" s="1"/>
  <c r="I25" i="11"/>
  <c r="I28" i="11"/>
  <c r="I30" i="10" s="1"/>
  <c r="I120" i="10" s="1"/>
  <c r="C100" i="8"/>
  <c r="C103" i="8" s="1"/>
  <c r="F28" i="10"/>
  <c r="F118" i="10" s="1"/>
  <c r="I33" i="9"/>
  <c r="G28" i="9"/>
  <c r="G33" i="10" s="1"/>
  <c r="G34" i="10"/>
  <c r="G31" i="9"/>
  <c r="G33" i="9" s="1"/>
  <c r="J30" i="9"/>
  <c r="J31" i="9"/>
  <c r="D33" i="9"/>
  <c r="J28" i="9"/>
  <c r="J33" i="10" s="1"/>
  <c r="F33" i="9"/>
  <c r="D24" i="6"/>
  <c r="E32" i="6"/>
  <c r="D32" i="6"/>
  <c r="E24" i="6"/>
  <c r="B11" i="6"/>
  <c r="F27" i="11" l="1"/>
  <c r="I9" i="11"/>
  <c r="I11" i="11" s="1"/>
  <c r="I13" i="11" s="1"/>
  <c r="I26" i="10" s="1"/>
  <c r="Q103" i="8"/>
  <c r="J9" i="11"/>
  <c r="J11" i="11" s="1"/>
  <c r="J13" i="11" s="1"/>
  <c r="J26" i="10" s="1"/>
  <c r="F9" i="11"/>
  <c r="F11" i="11" s="1"/>
  <c r="F13" i="11" s="1"/>
  <c r="E9" i="11"/>
  <c r="Q9" i="11"/>
  <c r="H26" i="11"/>
  <c r="H29" i="10" s="1"/>
  <c r="H119" i="10" s="1"/>
  <c r="D11" i="11"/>
  <c r="D13" i="11" s="1"/>
  <c r="D26" i="10" s="1"/>
  <c r="E11" i="11"/>
  <c r="E13" i="11" s="1"/>
  <c r="E26" i="10" s="1"/>
  <c r="G10" i="11"/>
  <c r="H10" i="11"/>
  <c r="P11" i="11"/>
  <c r="P13" i="11" s="1"/>
  <c r="P26" i="10" s="1"/>
  <c r="H28" i="11"/>
  <c r="H30" i="10" s="1"/>
  <c r="H120" i="10" s="1"/>
  <c r="O11" i="11"/>
  <c r="O13" i="11" s="1"/>
  <c r="O26" i="10" s="1"/>
  <c r="N9" i="11"/>
  <c r="G88" i="8"/>
  <c r="G100" i="8" s="1"/>
  <c r="H88" i="8"/>
  <c r="H100" i="8" s="1"/>
  <c r="J27" i="11"/>
  <c r="J28" i="10"/>
  <c r="J121" i="10" s="1"/>
  <c r="G26" i="11"/>
  <c r="G29" i="10" s="1"/>
  <c r="G119" i="10" s="1"/>
  <c r="G25" i="11"/>
  <c r="G28" i="11"/>
  <c r="G30" i="10" s="1"/>
  <c r="G120" i="10" s="1"/>
  <c r="M59" i="10"/>
  <c r="N59" i="10"/>
  <c r="N60" i="10"/>
  <c r="N61" i="10" s="1"/>
  <c r="Q65" i="10" s="1"/>
  <c r="M60" i="10"/>
  <c r="M61" i="10" s="1"/>
  <c r="Q64" i="10" s="1"/>
  <c r="D103" i="8"/>
  <c r="C9" i="11"/>
  <c r="C11" i="11" s="1"/>
  <c r="C13" i="11" s="1"/>
  <c r="P103" i="8"/>
  <c r="H28" i="10"/>
  <c r="H118" i="10" s="1"/>
  <c r="I27" i="11"/>
  <c r="I28" i="10"/>
  <c r="I118" i="10" s="1"/>
  <c r="F26" i="10"/>
  <c r="J33" i="9"/>
  <c r="D28" i="6"/>
  <c r="D35" i="6" s="1"/>
  <c r="G28" i="6"/>
  <c r="G35" i="6" s="1"/>
  <c r="F28" i="6"/>
  <c r="F35" i="6" s="1"/>
  <c r="H28" i="6"/>
  <c r="H35" i="6" s="1"/>
  <c r="D25" i="6"/>
  <c r="D27" i="6" s="1"/>
  <c r="D34" i="6" s="1"/>
  <c r="E25" i="6"/>
  <c r="E27" i="6" s="1"/>
  <c r="E34" i="6" s="1"/>
  <c r="C25" i="6"/>
  <c r="C27" i="6" s="1"/>
  <c r="C28" i="6"/>
  <c r="C35" i="6" s="1"/>
  <c r="E28" i="6"/>
  <c r="E35" i="6" s="1"/>
  <c r="Q11" i="11" l="1"/>
  <c r="Q13" i="11" s="1"/>
  <c r="Q26" i="10" s="1"/>
  <c r="F14" i="11"/>
  <c r="H27" i="11"/>
  <c r="Q14" i="11"/>
  <c r="D14" i="11"/>
  <c r="P14" i="11"/>
  <c r="E14" i="11"/>
  <c r="O14" i="11"/>
  <c r="J14" i="11"/>
  <c r="N11" i="11"/>
  <c r="N13" i="11" s="1"/>
  <c r="N26" i="10" s="1"/>
  <c r="I14" i="11"/>
  <c r="G103" i="8"/>
  <c r="G9" i="11"/>
  <c r="G11" i="11" s="1"/>
  <c r="G13" i="11" s="1"/>
  <c r="L67" i="10"/>
  <c r="G27" i="11"/>
  <c r="G28" i="10"/>
  <c r="G118" i="10" s="1"/>
  <c r="H9" i="11"/>
  <c r="H11" i="11" s="1"/>
  <c r="H13" i="11" s="1"/>
  <c r="H103" i="8"/>
  <c r="L66" i="10"/>
  <c r="C14" i="11"/>
  <c r="C26" i="10"/>
  <c r="E26" i="6"/>
  <c r="E33" i="6" s="1"/>
  <c r="D26" i="6"/>
  <c r="D33" i="6" s="1"/>
  <c r="C34" i="6"/>
  <c r="C26" i="6"/>
  <c r="C33" i="6" s="1"/>
  <c r="N14" i="11" l="1"/>
  <c r="G14" i="11" l="1"/>
  <c r="G26" i="10"/>
  <c r="H14" i="11"/>
  <c r="H26" i="10"/>
</calcChain>
</file>

<file path=xl/sharedStrings.xml><?xml version="1.0" encoding="utf-8"?>
<sst xmlns="http://schemas.openxmlformats.org/spreadsheetml/2006/main" count="825" uniqueCount="406">
  <si>
    <t>WLTC</t>
  </si>
  <si>
    <t>vehicle definition</t>
  </si>
  <si>
    <t>cargo volume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</si>
  <si>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</si>
  <si>
    <t>range</t>
  </si>
  <si>
    <t>km</t>
  </si>
  <si>
    <t>useage profile</t>
  </si>
  <si>
    <t>-</t>
  </si>
  <si>
    <t>architecture</t>
  </si>
  <si>
    <t>GVW</t>
  </si>
  <si>
    <t>kg</t>
  </si>
  <si>
    <t>Payload</t>
  </si>
  <si>
    <t>wheel base</t>
  </si>
  <si>
    <t>mm</t>
  </si>
  <si>
    <t>total length</t>
  </si>
  <si>
    <t>width</t>
  </si>
  <si>
    <t>vehicle height</t>
  </si>
  <si>
    <t>battery capacity</t>
  </si>
  <si>
    <t>kWh</t>
  </si>
  <si>
    <t>Performance</t>
  </si>
  <si>
    <t>AVRCoD</t>
  </si>
  <si>
    <t>€/km-kg-year</t>
  </si>
  <si>
    <t>TCD per anuum</t>
  </si>
  <si>
    <t>€/year</t>
  </si>
  <si>
    <t>Energy consumption</t>
  </si>
  <si>
    <t>wh/km</t>
  </si>
  <si>
    <t>vehicle related Total Cost of Delivery</t>
  </si>
  <si>
    <t>Avg. energy consumption, Wh/km, %</t>
  </si>
  <si>
    <t>vehicle</t>
  </si>
  <si>
    <r>
      <t>4wheel-3 m</t>
    </r>
    <r>
      <rPr>
        <vertAlign val="superscript"/>
        <sz val="11"/>
        <color rgb="FF000000"/>
        <rFont val="Calibri"/>
        <family val="2"/>
        <scheme val="minor"/>
      </rPr>
      <t>3</t>
    </r>
  </si>
  <si>
    <t>TCO</t>
  </si>
  <si>
    <t>drive cycle</t>
  </si>
  <si>
    <t>WMTC</t>
  </si>
  <si>
    <t>Avg. energy consumption,</t>
  </si>
  <si>
    <t>Midmile</t>
  </si>
  <si>
    <t>Metropole</t>
  </si>
  <si>
    <t>Total Cost of Delivery, EUR/year x kg x km, %</t>
  </si>
  <si>
    <t>size</t>
  </si>
  <si>
    <t>Total Cost of Delivery, €/year x kg* x km</t>
  </si>
  <si>
    <t>WLTC/WMTC</t>
  </si>
  <si>
    <t>Mid mile</t>
  </si>
  <si>
    <t>metropole</t>
  </si>
  <si>
    <t>vehicle configuration</t>
  </si>
  <si>
    <t>battery cost</t>
  </si>
  <si>
    <t>€</t>
  </si>
  <si>
    <t>Battery pack Large cell (60 Ah)</t>
  </si>
  <si>
    <r>
      <rPr>
        <sz val="11"/>
        <color theme="1"/>
        <rFont val="Calibri"/>
        <family val="2"/>
      </rPr>
      <t>€</t>
    </r>
    <r>
      <rPr>
        <sz val="11"/>
        <color theme="1"/>
        <rFont val="Calibri"/>
        <family val="2"/>
        <scheme val="minor"/>
      </rPr>
      <t>/kWh</t>
    </r>
  </si>
  <si>
    <t>motor cost</t>
  </si>
  <si>
    <t>Permanent synchronous motor (nominal power)</t>
  </si>
  <si>
    <r>
      <rPr>
        <sz val="11"/>
        <color theme="1"/>
        <rFont val="Calibri"/>
        <family val="2"/>
      </rPr>
      <t>€</t>
    </r>
    <r>
      <rPr>
        <sz val="11"/>
        <color theme="1"/>
        <rFont val="Calibri"/>
        <family val="2"/>
        <scheme val="minor"/>
      </rPr>
      <t>/kW</t>
    </r>
  </si>
  <si>
    <t>Power electronics</t>
  </si>
  <si>
    <t>Power electronics (including inverter, charger &amp; DC-DC converter)</t>
  </si>
  <si>
    <t>Vehicle body</t>
  </si>
  <si>
    <t>Vehicle body (lights, LV electronics, ESP + steering)</t>
  </si>
  <si>
    <t>Autonomous driving</t>
  </si>
  <si>
    <t>Autonomous driving (sensors &amp; computer)</t>
  </si>
  <si>
    <t>aluminum weight</t>
  </si>
  <si>
    <t>High-strength steel</t>
  </si>
  <si>
    <r>
      <rPr>
        <sz val="11"/>
        <color theme="1"/>
        <rFont val="Calibri"/>
        <family val="2"/>
      </rPr>
      <t>€</t>
    </r>
    <r>
      <rPr>
        <sz val="11"/>
        <color theme="1"/>
        <rFont val="Calibri"/>
        <family val="2"/>
        <scheme val="minor"/>
      </rPr>
      <t>/kg</t>
    </r>
  </si>
  <si>
    <t>plastic weight</t>
  </si>
  <si>
    <t>Plastics (PP)</t>
  </si>
  <si>
    <t>assembly</t>
  </si>
  <si>
    <r>
      <t>assembly (incl labour)30</t>
    </r>
    <r>
      <rPr>
        <sz val="11"/>
        <color theme="1"/>
        <rFont val="Calibri"/>
        <family val="2"/>
      </rPr>
      <t>€/work hour, 5 hours/vehicle</t>
    </r>
  </si>
  <si>
    <t>Total production cost</t>
  </si>
  <si>
    <t>usage</t>
  </si>
  <si>
    <t>purchase cost</t>
  </si>
  <si>
    <r>
      <t xml:space="preserve">margin </t>
    </r>
    <r>
      <rPr>
        <sz val="11"/>
        <color theme="1"/>
        <rFont val="Calibri"/>
        <family val="2"/>
        <scheme val="minor"/>
      </rPr>
      <t>(manufacturer, dealer, retailer)</t>
    </r>
  </si>
  <si>
    <t>residual value</t>
  </si>
  <si>
    <t>residual values as part of purchase price</t>
  </si>
  <si>
    <t>annual capital cost</t>
  </si>
  <si>
    <t>vehicle end of life</t>
  </si>
  <si>
    <t>years</t>
  </si>
  <si>
    <t>annual kilometers</t>
  </si>
  <si>
    <t>annual work days</t>
  </si>
  <si>
    <t>capital cost per km</t>
  </si>
  <si>
    <t>€/km</t>
  </si>
  <si>
    <t>*vehicle end of life assumed to be when battery reach end of life.</t>
  </si>
  <si>
    <t>Wh/km</t>
  </si>
  <si>
    <t>running cost</t>
  </si>
  <si>
    <t>annual energy cost</t>
  </si>
  <si>
    <t>Fixed</t>
  </si>
  <si>
    <t>energy cost per km</t>
  </si>
  <si>
    <t>service cost out of TCO</t>
  </si>
  <si>
    <t xml:space="preserve">Cost of Energy </t>
  </si>
  <si>
    <t>annual cost</t>
  </si>
  <si>
    <t>average cargo capacity</t>
  </si>
  <si>
    <t>assumption of average cargo weight to full capacity</t>
  </si>
  <si>
    <t>annual cost per km per kg</t>
  </si>
  <si>
    <t>€/year-kg-km</t>
  </si>
  <si>
    <t>Relative contribution to annual cost</t>
  </si>
  <si>
    <t>Energy cost</t>
  </si>
  <si>
    <t>%</t>
  </si>
  <si>
    <t xml:space="preserve">Capital cost </t>
  </si>
  <si>
    <t>Service cost</t>
  </si>
  <si>
    <t>check</t>
  </si>
  <si>
    <t>V2 mid</t>
  </si>
  <si>
    <t>V2 met</t>
  </si>
  <si>
    <t>V3 mid</t>
  </si>
  <si>
    <t>V3 met</t>
  </si>
  <si>
    <t>4-wheel mid</t>
  </si>
  <si>
    <t>4-wheel met</t>
  </si>
  <si>
    <t>upper frontal edge coordinates</t>
  </si>
  <si>
    <t>Centre of Gravity</t>
  </si>
  <si>
    <t>fixed weight</t>
  </si>
  <si>
    <t>X</t>
  </si>
  <si>
    <t>Z</t>
  </si>
  <si>
    <t>Front end</t>
  </si>
  <si>
    <t>Rear end</t>
  </si>
  <si>
    <t>Xb</t>
  </si>
  <si>
    <t>Zb</t>
  </si>
  <si>
    <t>power electronics</t>
  </si>
  <si>
    <t>300+Xb</t>
  </si>
  <si>
    <t>wheel base - 100</t>
  </si>
  <si>
    <t>cargo structure</t>
  </si>
  <si>
    <t>chassis</t>
  </si>
  <si>
    <t>glider mass (total fixed weight)</t>
  </si>
  <si>
    <t>of which:</t>
  </si>
  <si>
    <t>weight of plastic is:</t>
  </si>
  <si>
    <t>cargo specific weight</t>
  </si>
  <si>
    <r>
      <t>kg/m</t>
    </r>
    <r>
      <rPr>
        <vertAlign val="superscript"/>
        <sz val="11"/>
        <color theme="1"/>
        <rFont val="Calibri"/>
        <family val="2"/>
        <scheme val="minor"/>
      </rPr>
      <t>3</t>
    </r>
  </si>
  <si>
    <t>specific energy</t>
  </si>
  <si>
    <t>Wh/kg</t>
  </si>
  <si>
    <t>useable battery energy 5-95%</t>
  </si>
  <si>
    <t>reference module capacity</t>
  </si>
  <si>
    <t>Wh</t>
  </si>
  <si>
    <t>reference module length</t>
  </si>
  <si>
    <t>reference module height</t>
  </si>
  <si>
    <t>reference module width</t>
  </si>
  <si>
    <t xml:space="preserve">Z value of  battery bottom </t>
  </si>
  <si>
    <t>V_nom</t>
  </si>
  <si>
    <t>V</t>
  </si>
  <si>
    <t>mid mile package factor</t>
  </si>
  <si>
    <t>#</t>
  </si>
  <si>
    <t>metropole package factor</t>
  </si>
  <si>
    <t>tire static rolling radius</t>
  </si>
  <si>
    <t>4 wheel</t>
  </si>
  <si>
    <t>average energy consumption</t>
  </si>
  <si>
    <t>C_bat</t>
  </si>
  <si>
    <t>A*hr</t>
  </si>
  <si>
    <t>motor nom. Power</t>
  </si>
  <si>
    <t>kW</t>
  </si>
  <si>
    <t>minimum wheel base*</t>
  </si>
  <si>
    <t>number of modules</t>
  </si>
  <si>
    <t>number of decks</t>
  </si>
  <si>
    <t># modules per decks</t>
  </si>
  <si>
    <t>Xb = 300 mm * number of required ref modules in a single deck to meet estimated battery total capacity</t>
  </si>
  <si>
    <t>Zb =  75 mm * number of ref modules decks required  to meet estimated battery total capacity</t>
  </si>
  <si>
    <t>battery CoG height</t>
  </si>
  <si>
    <t>foundation chassis height</t>
  </si>
  <si>
    <t>vehicle width</t>
  </si>
  <si>
    <t>cargo compartment size</t>
  </si>
  <si>
    <t>compartment length</t>
  </si>
  <si>
    <t>m</t>
  </si>
  <si>
    <t>compartment height</t>
  </si>
  <si>
    <t>4-wheel weight calculations</t>
  </si>
  <si>
    <t>battery weight</t>
  </si>
  <si>
    <t>4 corners weight (wheels, arms, knuckle, brakes)</t>
  </si>
  <si>
    <t>drive system</t>
  </si>
  <si>
    <t>body</t>
  </si>
  <si>
    <t>kerb weight</t>
  </si>
  <si>
    <t>Total</t>
  </si>
  <si>
    <t>x - length</t>
  </si>
  <si>
    <t>y - side</t>
  </si>
  <si>
    <t>z - height</t>
  </si>
  <si>
    <t>x</t>
  </si>
  <si>
    <t>y</t>
  </si>
  <si>
    <t>z</t>
  </si>
  <si>
    <t>Battery</t>
  </si>
  <si>
    <t>Cargo</t>
  </si>
  <si>
    <t>relative front load</t>
  </si>
  <si>
    <t>cargo compartment moment of inertia</t>
  </si>
  <si>
    <t>about x</t>
  </si>
  <si>
    <r>
      <t>kg*m</t>
    </r>
    <r>
      <rPr>
        <vertAlign val="superscript"/>
        <sz val="11"/>
        <color theme="1"/>
        <rFont val="Calibri"/>
        <family val="2"/>
        <scheme val="minor"/>
      </rPr>
      <t>2</t>
    </r>
  </si>
  <si>
    <t>about y</t>
  </si>
  <si>
    <t>about z</t>
  </si>
  <si>
    <t>use case data</t>
  </si>
  <si>
    <t>fields of requirments</t>
  </si>
  <si>
    <r>
      <t>cargo volume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]</t>
    </r>
  </si>
  <si>
    <t>use case</t>
  </si>
  <si>
    <t>range [km]</t>
  </si>
  <si>
    <t>average speed</t>
  </si>
  <si>
    <t>WMTC Part1</t>
  </si>
  <si>
    <t>SME delivery</t>
  </si>
  <si>
    <t>WMTC Part2+1</t>
  </si>
  <si>
    <t>mega metropolin delivery</t>
  </si>
  <si>
    <t>WMTC Part3+2+1</t>
  </si>
  <si>
    <t>ave speed</t>
  </si>
  <si>
    <t>dist</t>
  </si>
  <si>
    <t>WMTC part1</t>
  </si>
  <si>
    <t>WMTC part2</t>
  </si>
  <si>
    <t>WMTC part3</t>
  </si>
  <si>
    <t>technical concept decision</t>
  </si>
  <si>
    <t>V1</t>
  </si>
  <si>
    <t>V2</t>
  </si>
  <si>
    <t>V3</t>
  </si>
  <si>
    <t>required range</t>
  </si>
  <si>
    <t>WMTC mid mile</t>
  </si>
  <si>
    <t>WMTC metropole</t>
  </si>
  <si>
    <t>WLTC mid-mile</t>
  </si>
  <si>
    <t>WLTC metrolpole</t>
  </si>
  <si>
    <t>3W low V1</t>
  </si>
  <si>
    <t>3W medium V1</t>
  </si>
  <si>
    <t>3W medium V2</t>
  </si>
  <si>
    <t>3W high V2</t>
  </si>
  <si>
    <t>3W low V3</t>
  </si>
  <si>
    <t>3W medium V3</t>
  </si>
  <si>
    <t>3W high V3</t>
  </si>
  <si>
    <t>4wheel mid-mile</t>
  </si>
  <si>
    <t>4wheel metro</t>
  </si>
  <si>
    <t>3W midmile V2</t>
  </si>
  <si>
    <t>3W metro V2</t>
  </si>
  <si>
    <t>3W midmile V3</t>
  </si>
  <si>
    <t>3W metro V3</t>
  </si>
  <si>
    <t>distance</t>
  </si>
  <si>
    <t>initial performance prediction</t>
  </si>
  <si>
    <t>Cd</t>
  </si>
  <si>
    <t>frontal area</t>
  </si>
  <si>
    <t>drive rolling radius</t>
  </si>
  <si>
    <t>meter</t>
  </si>
  <si>
    <t>rev's per km</t>
  </si>
  <si>
    <t>revolutions</t>
  </si>
  <si>
    <t>coef. Of rolling resistance</t>
  </si>
  <si>
    <t>vehicle size</t>
  </si>
  <si>
    <t>2 cu-m, WMTC 3+2+1</t>
  </si>
  <si>
    <t>3 cu-m, WMTC 3+2+1</t>
  </si>
  <si>
    <t xml:space="preserve">top speed </t>
  </si>
  <si>
    <t>max slope</t>
  </si>
  <si>
    <t>max acceleration</t>
  </si>
  <si>
    <t>speed [kph]</t>
  </si>
  <si>
    <t>slope [deg]</t>
  </si>
  <si>
    <t>acceleration [m/sec^2]</t>
  </si>
  <si>
    <t>rolling resistance [N]</t>
  </si>
  <si>
    <t>climb resistance [N]</t>
  </si>
  <si>
    <t>acceleration load [m/sec^2]</t>
  </si>
  <si>
    <t>aerodynamic resistance [N]</t>
  </si>
  <si>
    <t>F  [N] Total resistance to motion</t>
  </si>
  <si>
    <t>torque [Nm]</t>
  </si>
  <si>
    <t>power required [KW]</t>
  </si>
  <si>
    <t>rev's [rpm]</t>
  </si>
  <si>
    <t>transmission efficiency</t>
  </si>
  <si>
    <t>reduction ratio</t>
  </si>
  <si>
    <t>number of motors</t>
  </si>
  <si>
    <t>total motor torque [Nm]</t>
  </si>
  <si>
    <t>total motor output [KW]</t>
  </si>
  <si>
    <t xml:space="preserve"> motor speed [rpm]</t>
  </si>
  <si>
    <t>MP3</t>
  </si>
  <si>
    <t>x position</t>
  </si>
  <si>
    <t>Z position</t>
  </si>
  <si>
    <t>front axle track</t>
  </si>
  <si>
    <t>t</t>
  </si>
  <si>
    <t>whellbase</t>
  </si>
  <si>
    <t>WB</t>
  </si>
  <si>
    <t>rider</t>
  </si>
  <si>
    <t>cg longitudinal position</t>
  </si>
  <si>
    <t>a</t>
  </si>
  <si>
    <t>rider 2</t>
  </si>
  <si>
    <t>practical half track</t>
  </si>
  <si>
    <t>cg height</t>
  </si>
  <si>
    <t>h</t>
  </si>
  <si>
    <t>static roll threshold</t>
  </si>
  <si>
    <t>roll_A</t>
  </si>
  <si>
    <t>MP3 with two riders</t>
  </si>
  <si>
    <t>tire static radius</t>
  </si>
  <si>
    <t>moment of inertia about X</t>
  </si>
  <si>
    <t>Total weight</t>
  </si>
  <si>
    <t>Ixx</t>
  </si>
  <si>
    <r>
      <t>mr</t>
    </r>
    <r>
      <rPr>
        <vertAlign val="superscript"/>
        <sz val="11"/>
        <color theme="1"/>
        <rFont val="Calibri"/>
        <family val="2"/>
        <scheme val="minor"/>
      </rPr>
      <t xml:space="preserve">2 </t>
    </r>
  </si>
  <si>
    <t>Ixx about cog</t>
  </si>
  <si>
    <t>Total inertia - Ixx</t>
  </si>
  <si>
    <t>two wheels and suspension</t>
  </si>
  <si>
    <t>front wheel inertia</t>
  </si>
  <si>
    <t>tire mass</t>
  </si>
  <si>
    <t>wheel mass</t>
  </si>
  <si>
    <t>rear wheel inertia</t>
  </si>
  <si>
    <t>140/70-R14</t>
  </si>
  <si>
    <t>120/70-R17</t>
  </si>
  <si>
    <t>outer dia</t>
  </si>
  <si>
    <t>total</t>
  </si>
  <si>
    <t>tire inertia</t>
  </si>
  <si>
    <t>wheel inertia</t>
  </si>
  <si>
    <t>front structure</t>
  </si>
  <si>
    <t>Y</t>
  </si>
  <si>
    <t>I</t>
  </si>
  <si>
    <t>rear arm</t>
  </si>
  <si>
    <t xml:space="preserve">MP3 estimation </t>
  </si>
  <si>
    <t>weight</t>
  </si>
  <si>
    <t>80 kg seated person moment of inertia about X - roll axis</t>
  </si>
  <si>
    <r>
      <t>kgm</t>
    </r>
    <r>
      <rPr>
        <vertAlign val="superscript"/>
        <sz val="11"/>
        <color theme="1"/>
        <rFont val="Calibri"/>
        <family val="2"/>
        <scheme val="minor"/>
      </rPr>
      <t>2</t>
    </r>
  </si>
  <si>
    <t xml:space="preserve">center of mass is </t>
  </si>
  <si>
    <t>above seat</t>
  </si>
  <si>
    <t>infront of standing center of mass position</t>
  </si>
  <si>
    <t>mass</t>
  </si>
  <si>
    <t>cg height w two riders</t>
  </si>
  <si>
    <t>main chassis</t>
  </si>
  <si>
    <t>MP3 main body</t>
  </si>
  <si>
    <t>rider 1</t>
  </si>
  <si>
    <t>V2-low</t>
  </si>
  <si>
    <t>V1-low</t>
  </si>
  <si>
    <r>
      <t>S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I+mh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</si>
  <si>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low</t>
  </si>
  <si>
    <t>high</t>
  </si>
  <si>
    <t>V2-high</t>
  </si>
  <si>
    <t>med</t>
  </si>
  <si>
    <t>V3-low</t>
  </si>
  <si>
    <t>V3-med</t>
  </si>
  <si>
    <t>V3-high</t>
  </si>
  <si>
    <t>Honda Goldwing 1800</t>
  </si>
  <si>
    <t>V2-med</t>
  </si>
  <si>
    <t>WLTP</t>
  </si>
  <si>
    <t>V1-med</t>
  </si>
  <si>
    <t>Dynamics</t>
  </si>
  <si>
    <t>deg</t>
  </si>
  <si>
    <t>eigen value</t>
  </si>
  <si>
    <t>wheelbase</t>
  </si>
  <si>
    <t>bike</t>
  </si>
  <si>
    <t>height</t>
  </si>
  <si>
    <t>main body</t>
  </si>
  <si>
    <t>100 kg</t>
  </si>
  <si>
    <t>min outer turning radius between walls</t>
  </si>
  <si>
    <t>min outer turning radius between sidewalks</t>
  </si>
  <si>
    <t>min inner turning radius between walls</t>
  </si>
  <si>
    <t>needed gap between walls</t>
  </si>
  <si>
    <t>usage profile</t>
  </si>
  <si>
    <t>driving range</t>
  </si>
  <si>
    <t>inner turn between walls</t>
  </si>
  <si>
    <t>outer turn between walls</t>
  </si>
  <si>
    <t>outer turn between sidewalks</t>
  </si>
  <si>
    <t>WMTC short range</t>
  </si>
  <si>
    <t>Cost of Manufacturing main assumptions</t>
  </si>
  <si>
    <t>short range</t>
  </si>
  <si>
    <t>--</t>
  </si>
  <si>
    <t>V2 short</t>
  </si>
  <si>
    <t>V1 short</t>
  </si>
  <si>
    <t>V1 mid</t>
  </si>
  <si>
    <t>V3 short</t>
  </si>
  <si>
    <t>radius @ Centre of Mass</t>
  </si>
  <si>
    <t>vehicle speed</t>
  </si>
  <si>
    <t>m/sec</t>
  </si>
  <si>
    <t>yaw rate</t>
  </si>
  <si>
    <t>deg/sec</t>
  </si>
  <si>
    <t>lateral accleration</t>
  </si>
  <si>
    <t>g</t>
  </si>
  <si>
    <t>lateral accelration</t>
  </si>
  <si>
    <t>lateral force</t>
  </si>
  <si>
    <t>N</t>
  </si>
  <si>
    <t>slip angle front right</t>
  </si>
  <si>
    <t>slip angle rear</t>
  </si>
  <si>
    <t>source</t>
  </si>
  <si>
    <t>length</t>
  </si>
  <si>
    <t>frontal Area</t>
  </si>
  <si>
    <t>payload</t>
  </si>
  <si>
    <t>Weight Unladen</t>
  </si>
  <si>
    <t>total mass 0.2</t>
  </si>
  <si>
    <t>total mass 0.1</t>
  </si>
  <si>
    <t>motor Power</t>
  </si>
  <si>
    <t>battery size</t>
  </si>
  <si>
    <t>EZ Flex driverless</t>
  </si>
  <si>
    <t>3wheel V1</t>
  </si>
  <si>
    <t>3wheel V2</t>
  </si>
  <si>
    <t>3wheel V3</t>
  </si>
  <si>
    <t>cycle comparison</t>
  </si>
  <si>
    <t>range comparison</t>
  </si>
  <si>
    <t>midmile/metropole</t>
  </si>
  <si>
    <t>4w V3</t>
  </si>
  <si>
    <t>WLTC midmile</t>
  </si>
  <si>
    <t>WLTC metropole</t>
  </si>
  <si>
    <t>drive hours (decimal)</t>
  </si>
  <si>
    <t>drive time</t>
  </si>
  <si>
    <t>half true track</t>
  </si>
  <si>
    <t>rad</t>
  </si>
  <si>
    <t>Static Roll Threshold</t>
  </si>
  <si>
    <t>CoG height from the road</t>
  </si>
  <si>
    <t>angle Beta</t>
  </si>
  <si>
    <t>CoG longitudinal position</t>
  </si>
  <si>
    <t>Reference vehicles</t>
  </si>
  <si>
    <t>the sole purpose of this calculation is to set initial drive train values for simulation's first run</t>
  </si>
  <si>
    <t>this table calculates the total resistance to motion at chosen work points</t>
  </si>
  <si>
    <t>basic inputs</t>
  </si>
  <si>
    <t>chosen work points</t>
  </si>
  <si>
    <t>tire - ground interface:</t>
  </si>
  <si>
    <t>Packaging Geometry and Weight Calculation</t>
  </si>
  <si>
    <t>Fixed clusters geometry and centre of mass location</t>
  </si>
  <si>
    <t>Main Assumptions</t>
  </si>
  <si>
    <t>calculation of Centre of Gravity Location</t>
  </si>
  <si>
    <t>weight of aluminium is:</t>
  </si>
  <si>
    <t>configuration</t>
  </si>
  <si>
    <t>sq. m</t>
  </si>
  <si>
    <t>Packaging Table</t>
  </si>
  <si>
    <r>
      <t>m</t>
    </r>
    <r>
      <rPr>
        <vertAlign val="superscript"/>
        <sz val="12"/>
        <color theme="1"/>
        <rFont val="Calibri"/>
        <family val="2"/>
        <scheme val="minor"/>
      </rPr>
      <t>3</t>
    </r>
  </si>
  <si>
    <t>Total Cost of Ownership Calculation</t>
  </si>
  <si>
    <t>Moment of Inertia and Eigenvalues Calculations</t>
  </si>
  <si>
    <t>Eigenvalues for reference vehicle</t>
  </si>
  <si>
    <t xml:space="preserve">Eigenvalues </t>
  </si>
  <si>
    <t>The data presented in this table have been accumulated from the various tables and calculations throughout the analysis.</t>
  </si>
  <si>
    <t>Stability and Manouverability Calculations</t>
  </si>
  <si>
    <t>Static Roll Threshold Calculation</t>
  </si>
  <si>
    <t>3 wheel max steering angle</t>
  </si>
  <si>
    <t>4 wheel max steer angle</t>
  </si>
  <si>
    <t>inner compartment width</t>
  </si>
  <si>
    <t>ChassisTotal length</t>
  </si>
  <si>
    <t>Lateral Load Threshold</t>
  </si>
  <si>
    <t>3 wheel front overhang</t>
  </si>
  <si>
    <t>4 wheel front overhang</t>
  </si>
  <si>
    <t>Manoeuvrability turning radius calculations</t>
  </si>
  <si>
    <t>Referecne vehicle data</t>
  </si>
  <si>
    <t>Conceptual Design Calculator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</si>
</sst>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h:mm;@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202124"/>
      <name val="Arial"/>
      <family val="2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5" fillId="4" borderId="0" applyNumberFormat="0" applyBorder="0" applyAlignment="0" applyProtection="0"/>
    <xf numFmtId="0" fontId="3" fillId="5" borderId="1" applyNumberFormat="0" applyFont="0" applyAlignment="0" applyProtection="0"/>
  </cellStyleXfs>
  <cellXfs count="283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2" fontId="0" fillId="0" borderId="0" xfId="0" applyNumberFormat="1"/>
    <xf numFmtId="0" fontId="0" fillId="2" borderId="0" xfId="0" applyFill="1"/>
    <xf numFmtId="0" fontId="4" fillId="0" borderId="0" xfId="0" applyFont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9" fontId="0" fillId="0" borderId="0" xfId="1" applyFon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/>
    <xf numFmtId="1" fontId="0" fillId="0" borderId="0" xfId="0" applyNumberFormat="1"/>
    <xf numFmtId="0" fontId="0" fillId="0" borderId="3" xfId="0" applyBorder="1"/>
    <xf numFmtId="0" fontId="0" fillId="5" borderId="3" xfId="3" applyFont="1" applyBorder="1"/>
    <xf numFmtId="0" fontId="5" fillId="4" borderId="3" xfId="2" applyBorder="1"/>
    <xf numFmtId="0" fontId="0" fillId="0" borderId="3" xfId="0" applyBorder="1" applyAlignment="1">
      <alignment horizontal="right"/>
    </xf>
    <xf numFmtId="0" fontId="3" fillId="0" borderId="3" xfId="0" applyFont="1" applyBorder="1"/>
    <xf numFmtId="164" fontId="0" fillId="5" borderId="3" xfId="3" applyNumberFormat="1" applyFont="1" applyBorder="1"/>
    <xf numFmtId="165" fontId="5" fillId="4" borderId="3" xfId="2" applyNumberFormat="1" applyBorder="1"/>
    <xf numFmtId="1" fontId="5" fillId="4" borderId="3" xfId="2" applyNumberFormat="1" applyBorder="1"/>
    <xf numFmtId="0" fontId="0" fillId="0" borderId="3" xfId="0" applyBorder="1" applyAlignment="1">
      <alignment horizontal="center"/>
    </xf>
    <xf numFmtId="0" fontId="0" fillId="2" borderId="0" xfId="0" applyFill="1" applyAlignment="1">
      <alignment horizontal="center"/>
    </xf>
    <xf numFmtId="9" fontId="0" fillId="0" borderId="0" xfId="1" applyFont="1"/>
    <xf numFmtId="0" fontId="0" fillId="0" borderId="3" xfId="0" applyBorder="1" applyAlignment="1">
      <alignment wrapText="1"/>
    </xf>
    <xf numFmtId="0" fontId="1" fillId="6" borderId="3" xfId="0" applyFont="1" applyFill="1" applyBorder="1"/>
    <xf numFmtId="164" fontId="0" fillId="0" borderId="0" xfId="0" applyNumberFormat="1"/>
    <xf numFmtId="0" fontId="0" fillId="0" borderId="0" xfId="0" applyAlignment="1">
      <alignment horizontal="center" vertical="center"/>
    </xf>
    <xf numFmtId="9" fontId="0" fillId="0" borderId="3" xfId="1" applyFon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" fontId="0" fillId="0" borderId="1" xfId="3" applyNumberFormat="1" applyFont="1" applyFill="1"/>
    <xf numFmtId="0" fontId="0" fillId="0" borderId="9" xfId="0" applyBorder="1"/>
    <xf numFmtId="0" fontId="0" fillId="0" borderId="10" xfId="0" applyBorder="1"/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9" xfId="0" applyBorder="1" applyAlignment="1">
      <alignment horizontal="right"/>
    </xf>
    <xf numFmtId="0" fontId="0" fillId="0" borderId="10" xfId="0" applyBorder="1" applyAlignment="1">
      <alignment horizontal="right"/>
    </xf>
    <xf numFmtId="164" fontId="0" fillId="5" borderId="9" xfId="3" applyNumberFormat="1" applyFont="1" applyBorder="1"/>
    <xf numFmtId="164" fontId="0" fillId="5" borderId="10" xfId="3" applyNumberFormat="1" applyFont="1" applyBorder="1"/>
    <xf numFmtId="165" fontId="5" fillId="4" borderId="9" xfId="2" applyNumberFormat="1" applyBorder="1"/>
    <xf numFmtId="165" fontId="5" fillId="4" borderId="10" xfId="2" applyNumberFormat="1" applyBorder="1"/>
    <xf numFmtId="1" fontId="5" fillId="4" borderId="9" xfId="2" applyNumberFormat="1" applyBorder="1"/>
    <xf numFmtId="1" fontId="5" fillId="4" borderId="10" xfId="2" applyNumberFormat="1" applyBorder="1"/>
    <xf numFmtId="1" fontId="5" fillId="4" borderId="11" xfId="2" applyNumberFormat="1" applyBorder="1"/>
    <xf numFmtId="1" fontId="5" fillId="4" borderId="12" xfId="2" applyNumberFormat="1" applyBorder="1"/>
    <xf numFmtId="1" fontId="5" fillId="4" borderId="13" xfId="2" applyNumberFormat="1" applyBorder="1"/>
    <xf numFmtId="0" fontId="8" fillId="0" borderId="0" xfId="0" applyFont="1"/>
    <xf numFmtId="0" fontId="9" fillId="0" borderId="0" xfId="0" applyFont="1"/>
    <xf numFmtId="0" fontId="1" fillId="7" borderId="14" xfId="0" applyFont="1" applyFill="1" applyBorder="1"/>
    <xf numFmtId="0" fontId="0" fillId="3" borderId="0" xfId="0" applyFill="1"/>
    <xf numFmtId="0" fontId="0" fillId="3" borderId="0" xfId="0" applyFill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7" borderId="14" xfId="0" applyFont="1" applyFill="1" applyBorder="1" applyAlignment="1">
      <alignment horizontal="right"/>
    </xf>
    <xf numFmtId="1" fontId="1" fillId="7" borderId="5" xfId="0" applyNumberFormat="1" applyFont="1" applyFill="1" applyBorder="1"/>
    <xf numFmtId="0" fontId="9" fillId="7" borderId="15" xfId="0" applyFont="1" applyFill="1" applyBorder="1"/>
    <xf numFmtId="0" fontId="0" fillId="8" borderId="3" xfId="0" applyFill="1" applyBorder="1"/>
    <xf numFmtId="0" fontId="0" fillId="8" borderId="0" xfId="0" applyFill="1" applyAlignment="1">
      <alignment horizontal="center"/>
    </xf>
    <xf numFmtId="0" fontId="1" fillId="6" borderId="4" xfId="0" applyFont="1" applyFill="1" applyBorder="1"/>
    <xf numFmtId="0" fontId="0" fillId="3" borderId="3" xfId="0" applyFill="1" applyBorder="1"/>
    <xf numFmtId="0" fontId="0" fillId="3" borderId="3" xfId="0" applyFill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3" xfId="0" applyFill="1" applyBorder="1"/>
    <xf numFmtId="0" fontId="0" fillId="0" borderId="16" xfId="0" applyBorder="1"/>
    <xf numFmtId="1" fontId="1" fillId="0" borderId="0" xfId="0" applyNumberFormat="1" applyFont="1" applyAlignment="1">
      <alignment horizontal="center"/>
    </xf>
    <xf numFmtId="165" fontId="0" fillId="2" borderId="0" xfId="0" applyNumberFormat="1" applyFill="1" applyAlignment="1">
      <alignment horizontal="center"/>
    </xf>
    <xf numFmtId="0" fontId="1" fillId="2" borderId="0" xfId="0" applyFont="1" applyFill="1"/>
    <xf numFmtId="0" fontId="9" fillId="2" borderId="0" xfId="0" applyFont="1" applyFill="1"/>
    <xf numFmtId="1" fontId="1" fillId="2" borderId="0" xfId="0" applyNumberFormat="1" applyFont="1" applyFill="1" applyAlignment="1">
      <alignment horizontal="center"/>
    </xf>
    <xf numFmtId="165" fontId="0" fillId="2" borderId="0" xfId="0" applyNumberFormat="1" applyFill="1"/>
    <xf numFmtId="11" fontId="9" fillId="7" borderId="15" xfId="0" applyNumberFormat="1" applyFont="1" applyFill="1" applyBorder="1"/>
    <xf numFmtId="0" fontId="9" fillId="7" borderId="15" xfId="0" applyFont="1" applyFill="1" applyBorder="1" applyAlignment="1">
      <alignment horizontal="center"/>
    </xf>
    <xf numFmtId="0" fontId="0" fillId="8" borderId="0" xfId="0" applyFill="1"/>
    <xf numFmtId="0" fontId="0" fillId="3" borderId="17" xfId="0" applyFill="1" applyBorder="1"/>
    <xf numFmtId="0" fontId="0" fillId="3" borderId="17" xfId="0" applyFill="1" applyBorder="1" applyAlignment="1">
      <alignment horizontal="center"/>
    </xf>
    <xf numFmtId="0" fontId="0" fillId="8" borderId="17" xfId="0" applyFill="1" applyBorder="1"/>
    <xf numFmtId="0" fontId="0" fillId="8" borderId="17" xfId="0" applyFill="1" applyBorder="1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164" fontId="0" fillId="8" borderId="17" xfId="0" applyNumberFormat="1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9" borderId="0" xfId="0" applyFill="1" applyAlignment="1">
      <alignment horizontal="center"/>
    </xf>
    <xf numFmtId="1" fontId="0" fillId="8" borderId="17" xfId="0" applyNumberFormat="1" applyFill="1" applyBorder="1" applyAlignment="1">
      <alignment horizontal="center"/>
    </xf>
    <xf numFmtId="0" fontId="8" fillId="8" borderId="17" xfId="0" applyFont="1" applyFill="1" applyBorder="1"/>
    <xf numFmtId="0" fontId="0" fillId="3" borderId="0" xfId="0" applyFill="1" applyAlignment="1">
      <alignment horizontal="center" wrapText="1"/>
    </xf>
    <xf numFmtId="164" fontId="0" fillId="9" borderId="17" xfId="0" applyNumberForma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10" fillId="9" borderId="17" xfId="0" applyFont="1" applyFill="1" applyBorder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0" fillId="8" borderId="0" xfId="0" applyFont="1" applyFill="1"/>
    <xf numFmtId="11" fontId="0" fillId="0" borderId="0" xfId="0" applyNumberFormat="1" applyAlignment="1">
      <alignment horizontal="center"/>
    </xf>
    <xf numFmtId="0" fontId="0" fillId="10" borderId="5" xfId="0" applyFill="1" applyBorder="1" applyAlignment="1">
      <alignment vertical="center" wrapText="1"/>
    </xf>
    <xf numFmtId="9" fontId="0" fillId="0" borderId="3" xfId="1" applyFont="1" applyBorder="1"/>
    <xf numFmtId="0" fontId="0" fillId="0" borderId="0" xfId="0" applyAlignment="1">
      <alignment horizontal="center" vertical="center" wrapText="1"/>
    </xf>
    <xf numFmtId="164" fontId="0" fillId="0" borderId="21" xfId="0" applyNumberFormat="1" applyBorder="1" applyAlignment="1">
      <alignment horizontal="center"/>
    </xf>
    <xf numFmtId="1" fontId="0" fillId="0" borderId="21" xfId="0" applyNumberFormat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0" fillId="11" borderId="5" xfId="0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 vertical="center" wrapText="1"/>
    </xf>
    <xf numFmtId="9" fontId="0" fillId="0" borderId="5" xfId="1" applyFont="1" applyFill="1" applyBorder="1" applyAlignment="1">
      <alignment horizontal="center"/>
    </xf>
    <xf numFmtId="9" fontId="0" fillId="0" borderId="5" xfId="1" applyFont="1" applyBorder="1" applyAlignment="1">
      <alignment horizontal="center"/>
    </xf>
    <xf numFmtId="11" fontId="12" fillId="0" borderId="5" xfId="0" applyNumberFormat="1" applyFont="1" applyBorder="1" applyAlignment="1">
      <alignment horizontal="center" vertical="center" wrapText="1"/>
    </xf>
    <xf numFmtId="11" fontId="12" fillId="11" borderId="5" xfId="0" applyNumberFormat="1" applyFont="1" applyFill="1" applyBorder="1" applyAlignment="1">
      <alignment horizontal="center" vertical="center" wrapText="1"/>
    </xf>
    <xf numFmtId="9" fontId="0" fillId="6" borderId="5" xfId="1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 vertical="center" wrapText="1"/>
    </xf>
    <xf numFmtId="9" fontId="0" fillId="3" borderId="5" xfId="1" applyFont="1" applyFill="1" applyBorder="1" applyAlignment="1">
      <alignment horizontal="center"/>
    </xf>
    <xf numFmtId="11" fontId="12" fillId="3" borderId="5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9" fontId="0" fillId="0" borderId="0" xfId="0" applyNumberFormat="1"/>
    <xf numFmtId="0" fontId="14" fillId="0" borderId="0" xfId="0" applyFont="1"/>
    <xf numFmtId="0" fontId="15" fillId="0" borderId="0" xfId="0" applyFont="1"/>
    <xf numFmtId="0" fontId="0" fillId="0" borderId="23" xfId="0" applyBorder="1"/>
    <xf numFmtId="0" fontId="0" fillId="0" borderId="22" xfId="0" applyBorder="1"/>
    <xf numFmtId="0" fontId="0" fillId="0" borderId="20" xfId="0" applyBorder="1"/>
    <xf numFmtId="10" fontId="0" fillId="0" borderId="3" xfId="0" applyNumberFormat="1" applyBorder="1"/>
    <xf numFmtId="0" fontId="10" fillId="0" borderId="0" xfId="0" applyFont="1" applyAlignment="1">
      <alignment horizontal="center"/>
    </xf>
    <xf numFmtId="0" fontId="8" fillId="2" borderId="0" xfId="0" applyFont="1" applyFill="1"/>
    <xf numFmtId="11" fontId="0" fillId="2" borderId="0" xfId="0" applyNumberFormat="1" applyFill="1" applyAlignment="1">
      <alignment horizontal="center"/>
    </xf>
    <xf numFmtId="0" fontId="0" fillId="2" borderId="17" xfId="0" applyFill="1" applyBorder="1"/>
    <xf numFmtId="0" fontId="0" fillId="2" borderId="17" xfId="0" applyFill="1" applyBorder="1" applyAlignment="1">
      <alignment horizontal="center"/>
    </xf>
    <xf numFmtId="2" fontId="0" fillId="2" borderId="17" xfId="0" applyNumberFormat="1" applyFill="1" applyBorder="1" applyAlignment="1">
      <alignment horizontal="center"/>
    </xf>
    <xf numFmtId="11" fontId="0" fillId="2" borderId="17" xfId="0" applyNumberFormat="1" applyFill="1" applyBorder="1" applyAlignment="1">
      <alignment horizontal="center"/>
    </xf>
    <xf numFmtId="1" fontId="0" fillId="2" borderId="3" xfId="0" applyNumberFormat="1" applyFill="1" applyBorder="1" applyAlignment="1">
      <alignment horizontal="center"/>
    </xf>
    <xf numFmtId="0" fontId="0" fillId="12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3" xfId="0" applyNumberFormat="1" applyBorder="1" applyAlignment="1">
      <alignment horizontal="center"/>
    </xf>
    <xf numFmtId="1" fontId="0" fillId="9" borderId="17" xfId="0" applyNumberFormat="1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165" fontId="0" fillId="0" borderId="3" xfId="0" applyNumberFormat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165" fontId="0" fillId="0" borderId="0" xfId="0" applyNumberFormat="1" applyAlignment="1">
      <alignment horizontal="center"/>
    </xf>
    <xf numFmtId="2" fontId="1" fillId="2" borderId="3" xfId="0" applyNumberFormat="1" applyFont="1" applyFill="1" applyBorder="1" applyAlignment="1">
      <alignment horizontal="center"/>
    </xf>
    <xf numFmtId="0" fontId="1" fillId="2" borderId="24" xfId="0" applyFont="1" applyFill="1" applyBorder="1" applyAlignment="1">
      <alignment horizontal="left"/>
    </xf>
    <xf numFmtId="0" fontId="0" fillId="2" borderId="24" xfId="0" applyFill="1" applyBorder="1" applyAlignment="1">
      <alignment horizontal="left"/>
    </xf>
    <xf numFmtId="164" fontId="0" fillId="2" borderId="24" xfId="0" applyNumberForma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quotePrefix="1" applyFont="1"/>
    <xf numFmtId="165" fontId="1" fillId="0" borderId="0" xfId="0" applyNumberFormat="1" applyFont="1" applyAlignment="1">
      <alignment horizontal="center"/>
    </xf>
    <xf numFmtId="0" fontId="1" fillId="2" borderId="0" xfId="0" quotePrefix="1" applyFont="1" applyFill="1"/>
    <xf numFmtId="165" fontId="1" fillId="2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 textRotation="90"/>
    </xf>
    <xf numFmtId="1" fontId="0" fillId="9" borderId="0" xfId="0" applyNumberFormat="1" applyFill="1" applyAlignment="1">
      <alignment horizontal="center"/>
    </xf>
    <xf numFmtId="0" fontId="0" fillId="8" borderId="17" xfId="0" applyFill="1" applyBorder="1" applyAlignment="1">
      <alignment wrapText="1"/>
    </xf>
    <xf numFmtId="2" fontId="0" fillId="9" borderId="17" xfId="0" applyNumberFormat="1" applyFill="1" applyBorder="1" applyAlignment="1">
      <alignment horizontal="center"/>
    </xf>
    <xf numFmtId="2" fontId="0" fillId="8" borderId="17" xfId="0" applyNumberFormat="1" applyFill="1" applyBorder="1" applyAlignment="1">
      <alignment horizontal="center" wrapText="1"/>
    </xf>
    <xf numFmtId="0" fontId="17" fillId="3" borderId="17" xfId="0" applyFont="1" applyFill="1" applyBorder="1"/>
    <xf numFmtId="0" fontId="17" fillId="3" borderId="17" xfId="0" applyFont="1" applyFill="1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17" xfId="0" applyFont="1" applyBorder="1" applyAlignment="1">
      <alignment wrapText="1"/>
    </xf>
    <xf numFmtId="0" fontId="0" fillId="0" borderId="17" xfId="0" applyBorder="1" applyAlignment="1">
      <alignment horizontal="center" wrapText="1"/>
    </xf>
    <xf numFmtId="0" fontId="14" fillId="0" borderId="17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164" fontId="18" fillId="0" borderId="17" xfId="0" applyNumberFormat="1" applyFont="1" applyBorder="1" applyAlignment="1">
      <alignment horizontal="center" vertical="center" wrapText="1"/>
    </xf>
    <xf numFmtId="0" fontId="17" fillId="0" borderId="26" xfId="0" applyFont="1" applyBorder="1"/>
    <xf numFmtId="0" fontId="0" fillId="0" borderId="26" xfId="0" applyBorder="1"/>
    <xf numFmtId="0" fontId="17" fillId="0" borderId="17" xfId="0" applyFont="1" applyBorder="1"/>
    <xf numFmtId="0" fontId="17" fillId="0" borderId="17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164" fontId="18" fillId="0" borderId="17" xfId="0" applyNumberFormat="1" applyFont="1" applyBorder="1" applyAlignment="1">
      <alignment horizontal="center"/>
    </xf>
    <xf numFmtId="1" fontId="18" fillId="0" borderId="26" xfId="0" applyNumberFormat="1" applyFont="1" applyBorder="1" applyAlignment="1">
      <alignment horizontal="center"/>
    </xf>
    <xf numFmtId="0" fontId="17" fillId="0" borderId="22" xfId="0" applyFont="1" applyBorder="1" applyAlignment="1">
      <alignment wrapText="1"/>
    </xf>
    <xf numFmtId="164" fontId="18" fillId="0" borderId="26" xfId="0" applyNumberFormat="1" applyFont="1" applyBorder="1" applyAlignment="1">
      <alignment horizontal="center"/>
    </xf>
    <xf numFmtId="0" fontId="17" fillId="12" borderId="0" xfId="0" applyFont="1" applyFill="1" applyAlignment="1">
      <alignment horizontal="center"/>
    </xf>
    <xf numFmtId="0" fontId="17" fillId="13" borderId="0" xfId="0" applyFont="1" applyFill="1" applyAlignment="1">
      <alignment horizontal="center" wrapText="1"/>
    </xf>
    <xf numFmtId="0" fontId="19" fillId="0" borderId="0" xfId="0" applyFont="1"/>
    <xf numFmtId="0" fontId="19" fillId="0" borderId="22" xfId="0" applyFont="1" applyBorder="1"/>
    <xf numFmtId="164" fontId="19" fillId="0" borderId="22" xfId="0" applyNumberFormat="1" applyFont="1" applyBorder="1" applyAlignment="1">
      <alignment horizontal="center"/>
    </xf>
    <xf numFmtId="1" fontId="19" fillId="0" borderId="0" xfId="0" applyNumberFormat="1" applyFont="1" applyAlignment="1">
      <alignment horizontal="center"/>
    </xf>
    <xf numFmtId="1" fontId="17" fillId="0" borderId="17" xfId="0" applyNumberFormat="1" applyFont="1" applyBorder="1" applyAlignment="1">
      <alignment horizontal="center"/>
    </xf>
    <xf numFmtId="1" fontId="17" fillId="13" borderId="17" xfId="0" applyNumberFormat="1" applyFont="1" applyFill="1" applyBorder="1" applyAlignment="1">
      <alignment horizontal="center"/>
    </xf>
    <xf numFmtId="0" fontId="17" fillId="13" borderId="17" xfId="0" applyFont="1" applyFill="1" applyBorder="1" applyAlignment="1">
      <alignment horizontal="center"/>
    </xf>
    <xf numFmtId="0" fontId="10" fillId="0" borderId="17" xfId="0" applyFont="1" applyBorder="1" applyAlignment="1">
      <alignment horizontal="center" wrapText="1"/>
    </xf>
    <xf numFmtId="0" fontId="17" fillId="0" borderId="17" xfId="0" applyFont="1" applyBorder="1" applyAlignment="1">
      <alignment horizontal="center" wrapText="1"/>
    </xf>
    <xf numFmtId="0" fontId="17" fillId="13" borderId="17" xfId="0" applyFont="1" applyFill="1" applyBorder="1" applyAlignment="1">
      <alignment horizontal="center" wrapText="1"/>
    </xf>
    <xf numFmtId="0" fontId="0" fillId="10" borderId="19" xfId="0" applyFill="1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1" fontId="12" fillId="6" borderId="5" xfId="0" applyNumberFormat="1" applyFont="1" applyFill="1" applyBorder="1" applyAlignment="1">
      <alignment horizontal="center" vertical="center" wrapText="1"/>
    </xf>
    <xf numFmtId="0" fontId="18" fillId="0" borderId="17" xfId="0" applyFont="1" applyBorder="1" applyAlignment="1">
      <alignment wrapText="1"/>
    </xf>
    <xf numFmtId="0" fontId="18" fillId="0" borderId="17" xfId="0" applyFont="1" applyBorder="1" applyAlignment="1">
      <alignment horizont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22" xfId="0" applyFont="1" applyBorder="1" applyAlignment="1">
      <alignment wrapText="1"/>
    </xf>
    <xf numFmtId="164" fontId="18" fillId="0" borderId="17" xfId="0" applyNumberFormat="1" applyFont="1" applyBorder="1" applyAlignment="1">
      <alignment horizontal="center" wrapText="1"/>
    </xf>
    <xf numFmtId="1" fontId="18" fillId="0" borderId="17" xfId="0" applyNumberFormat="1" applyFont="1" applyBorder="1" applyAlignment="1">
      <alignment horizontal="center" wrapText="1"/>
    </xf>
    <xf numFmtId="2" fontId="19" fillId="0" borderId="22" xfId="0" applyNumberFormat="1" applyFont="1" applyBorder="1" applyAlignment="1">
      <alignment horizontal="center"/>
    </xf>
    <xf numFmtId="0" fontId="20" fillId="0" borderId="0" xfId="0" applyFont="1"/>
    <xf numFmtId="2" fontId="0" fillId="0" borderId="3" xfId="0" applyNumberFormat="1" applyBorder="1"/>
    <xf numFmtId="9" fontId="0" fillId="0" borderId="0" xfId="1" applyFont="1" applyFill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166" fontId="0" fillId="0" borderId="0" xfId="0" applyNumberFormat="1"/>
    <xf numFmtId="164" fontId="0" fillId="8" borderId="0" xfId="0" applyNumberFormat="1" applyFill="1" applyAlignment="1">
      <alignment horizontal="center"/>
    </xf>
    <xf numFmtId="164" fontId="0" fillId="9" borderId="0" xfId="0" applyNumberFormat="1" applyFill="1" applyAlignment="1">
      <alignment horizontal="center"/>
    </xf>
    <xf numFmtId="0" fontId="0" fillId="8" borderId="17" xfId="0" applyFill="1" applyBorder="1" applyAlignment="1">
      <alignment horizontal="center" wrapText="1"/>
    </xf>
    <xf numFmtId="2" fontId="17" fillId="0" borderId="17" xfId="0" applyNumberFormat="1" applyFont="1" applyBorder="1" applyAlignment="1">
      <alignment horizontal="center"/>
    </xf>
    <xf numFmtId="2" fontId="17" fillId="13" borderId="17" xfId="0" applyNumberFormat="1" applyFont="1" applyFill="1" applyBorder="1" applyAlignment="1">
      <alignment horizontal="center"/>
    </xf>
    <xf numFmtId="1" fontId="19" fillId="13" borderId="17" xfId="0" applyNumberFormat="1" applyFont="1" applyFill="1" applyBorder="1" applyAlignment="1">
      <alignment horizontal="center"/>
    </xf>
    <xf numFmtId="2" fontId="19" fillId="13" borderId="0" xfId="0" applyNumberFormat="1" applyFont="1" applyFill="1" applyAlignment="1">
      <alignment horizontal="center"/>
    </xf>
    <xf numFmtId="0" fontId="1" fillId="0" borderId="23" xfId="0" applyFont="1" applyBorder="1"/>
    <xf numFmtId="0" fontId="0" fillId="0" borderId="29" xfId="0" applyBorder="1"/>
    <xf numFmtId="0" fontId="0" fillId="0" borderId="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19" fillId="0" borderId="22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0" fillId="0" borderId="0" xfId="3" applyFont="1" applyFill="1" applyBorder="1"/>
    <xf numFmtId="1" fontId="0" fillId="0" borderId="0" xfId="3" applyNumberFormat="1" applyFont="1" applyFill="1" applyBorder="1"/>
    <xf numFmtId="9" fontId="0" fillId="0" borderId="0" xfId="1" applyFont="1" applyBorder="1" applyAlignment="1">
      <alignment horizontal="center"/>
    </xf>
    <xf numFmtId="164" fontId="0" fillId="5" borderId="20" xfId="3" applyNumberFormat="1" applyFont="1" applyBorder="1"/>
    <xf numFmtId="0" fontId="0" fillId="0" borderId="20" xfId="0" applyBorder="1" applyAlignment="1">
      <alignment wrapText="1"/>
    </xf>
    <xf numFmtId="0" fontId="0" fillId="0" borderId="20" xfId="0" applyBorder="1" applyAlignment="1">
      <alignment horizontal="right"/>
    </xf>
    <xf numFmtId="165" fontId="5" fillId="4" borderId="20" xfId="2" applyNumberFormat="1" applyBorder="1"/>
    <xf numFmtId="1" fontId="5" fillId="4" borderId="20" xfId="2" applyNumberFormat="1" applyBorder="1"/>
    <xf numFmtId="1" fontId="5" fillId="4" borderId="34" xfId="2" applyNumberFormat="1" applyBorder="1"/>
    <xf numFmtId="0" fontId="0" fillId="3" borderId="3" xfId="0" applyFill="1" applyBorder="1" applyAlignment="1">
      <alignment horizontal="center" wrapText="1"/>
    </xf>
    <xf numFmtId="0" fontId="0" fillId="3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21" fillId="3" borderId="3" xfId="0" applyFont="1" applyFill="1" applyBorder="1"/>
    <xf numFmtId="0" fontId="21" fillId="3" borderId="3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3" borderId="21" xfId="0" applyFont="1" applyFill="1" applyBorder="1" applyAlignment="1">
      <alignment horizontal="center"/>
    </xf>
    <xf numFmtId="0" fontId="21" fillId="8" borderId="3" xfId="0" applyFont="1" applyFill="1" applyBorder="1" applyAlignment="1">
      <alignment horizontal="center"/>
    </xf>
    <xf numFmtId="0" fontId="21" fillId="8" borderId="21" xfId="0" applyFont="1" applyFill="1" applyBorder="1" applyAlignment="1">
      <alignment horizontal="center"/>
    </xf>
    <xf numFmtId="1" fontId="21" fillId="8" borderId="3" xfId="0" applyNumberFormat="1" applyFont="1" applyFill="1" applyBorder="1" applyAlignment="1">
      <alignment horizontal="center"/>
    </xf>
    <xf numFmtId="0" fontId="21" fillId="0" borderId="3" xfId="0" applyFont="1" applyBorder="1" applyAlignment="1">
      <alignment horizontal="center"/>
    </xf>
    <xf numFmtId="164" fontId="21" fillId="0" borderId="3" xfId="0" applyNumberFormat="1" applyFont="1" applyBorder="1" applyAlignment="1">
      <alignment horizontal="center"/>
    </xf>
    <xf numFmtId="164" fontId="21" fillId="0" borderId="0" xfId="0" applyNumberFormat="1" applyFont="1" applyAlignment="1">
      <alignment horizontal="center"/>
    </xf>
    <xf numFmtId="164" fontId="21" fillId="0" borderId="21" xfId="0" applyNumberFormat="1" applyFont="1" applyBorder="1" applyAlignment="1">
      <alignment horizontal="center"/>
    </xf>
    <xf numFmtId="1" fontId="21" fillId="0" borderId="3" xfId="0" applyNumberFormat="1" applyFont="1" applyBorder="1" applyAlignment="1">
      <alignment horizontal="center"/>
    </xf>
    <xf numFmtId="1" fontId="21" fillId="0" borderId="0" xfId="0" applyNumberFormat="1" applyFont="1" applyAlignment="1">
      <alignment horizontal="center"/>
    </xf>
    <xf numFmtId="1" fontId="21" fillId="0" borderId="21" xfId="0" applyNumberFormat="1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3" xfId="0" applyFont="1" applyBorder="1"/>
    <xf numFmtId="0" fontId="21" fillId="0" borderId="0" xfId="0" applyFont="1" applyAlignment="1">
      <alignment wrapText="1"/>
    </xf>
    <xf numFmtId="0" fontId="4" fillId="3" borderId="3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1" fontId="4" fillId="8" borderId="3" xfId="0" applyNumberFormat="1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3" xfId="0" applyFont="1" applyBorder="1"/>
    <xf numFmtId="0" fontId="8" fillId="0" borderId="3" xfId="0" applyFont="1" applyBorder="1"/>
    <xf numFmtId="0" fontId="0" fillId="0" borderId="3" xfId="1" applyNumberFormat="1" applyFont="1" applyBorder="1"/>
    <xf numFmtId="0" fontId="0" fillId="0" borderId="3" xfId="0" quotePrefix="1" applyBorder="1"/>
    <xf numFmtId="0" fontId="19" fillId="0" borderId="0" xfId="0" applyFont="1" applyAlignment="1">
      <alignment horizontal="left" vertical="center"/>
    </xf>
    <xf numFmtId="11" fontId="0" fillId="0" borderId="0" xfId="0" applyNumberFormat="1"/>
    <xf numFmtId="0" fontId="12" fillId="10" borderId="25" xfId="0" applyFont="1" applyFill="1" applyBorder="1" applyAlignment="1">
      <alignment horizontal="center" vertical="center" wrapText="1"/>
    </xf>
    <xf numFmtId="11" fontId="12" fillId="0" borderId="14" xfId="0" applyNumberFormat="1" applyFont="1" applyBorder="1" applyAlignment="1">
      <alignment horizontal="center" vertical="center" wrapText="1"/>
    </xf>
    <xf numFmtId="11" fontId="12" fillId="0" borderId="28" xfId="0" applyNumberFormat="1" applyFont="1" applyBorder="1" applyAlignment="1">
      <alignment horizontal="center" vertical="center" wrapText="1"/>
    </xf>
    <xf numFmtId="11" fontId="12" fillId="0" borderId="27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/>
    </xf>
    <xf numFmtId="0" fontId="12" fillId="10" borderId="19" xfId="0" applyFont="1" applyFill="1" applyBorder="1" applyAlignment="1">
      <alignment horizontal="center" vertical="center" wrapText="1"/>
    </xf>
    <xf numFmtId="0" fontId="12" fillId="10" borderId="18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2" fillId="11" borderId="14" xfId="0" applyFont="1" applyFill="1" applyBorder="1" applyAlignment="1">
      <alignment horizontal="center" vertical="center" wrapText="1"/>
    </xf>
    <xf numFmtId="0" fontId="12" fillId="11" borderId="28" xfId="0" applyFont="1" applyFill="1" applyBorder="1" applyAlignment="1">
      <alignment horizontal="center" vertical="center" wrapText="1"/>
    </xf>
    <xf numFmtId="0" fontId="12" fillId="11" borderId="27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3" borderId="20" xfId="0" applyFill="1" applyBorder="1" applyAlignment="1">
      <alignment horizontal="left" wrapText="1"/>
    </xf>
    <xf numFmtId="0" fontId="0" fillId="3" borderId="21" xfId="0" applyFill="1" applyBorder="1" applyAlignment="1">
      <alignment horizontal="left" wrapText="1"/>
    </xf>
    <xf numFmtId="0" fontId="0" fillId="3" borderId="20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</cellXfs>
  <cellStyles count="4">
    <cellStyle name="Good" xfId="2" builtinId="26"/>
    <cellStyle name="Normal" xfId="0" builtinId="0"/>
    <cellStyle name="Note" xfId="3" builtinId="10"/>
    <cellStyle name="Percent" xfId="1" builtinId="5"/>
  </cellStyles>
  <dxfs count="0"/>
  <tableStyles count="0" defaultTableStyle="TableStyleMedium2" defaultPivotStyle="PivotStyleLight16"/>
  <colors>
    <mruColors>
      <color rgb="FFEEC6BE"/>
      <color rgb="FFCC99FF"/>
      <color rgb="FF00B0F0"/>
      <color rgb="FFFFCC66"/>
      <color rgb="FFED7D31"/>
      <color rgb="FFFCAA6C"/>
      <color rgb="FFE8DB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Avg. energy consumption, Wh/km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500437587011295E-2"/>
          <c:y val="0.23088902510100695"/>
          <c:w val="0.88846094455596669"/>
          <c:h val="0.625291273571517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'result table'!$K$43</c:f>
              <c:strCache>
                <c:ptCount val="1"/>
                <c:pt idx="0">
                  <c:v>short range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'result table'!$L$43:$N$43</c:f>
              <c:numCache>
                <c:formatCode>General</c:formatCode>
                <c:ptCount val="3"/>
                <c:pt idx="0">
                  <c:v>32.6</c:v>
                </c:pt>
                <c:pt idx="1">
                  <c:v>53.6</c:v>
                </c:pt>
                <c:pt idx="2">
                  <c:v>60.7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37B-8304-CD545DB16DE0}"/>
            </c:ext>
          </c:extLst>
        </c:ser>
        <c:ser>
          <c:idx val="0"/>
          <c:order val="1"/>
          <c:tx>
            <c:strRef>
              <c:f>'result table'!$K$44</c:f>
              <c:strCache>
                <c:ptCount val="1"/>
                <c:pt idx="0">
                  <c:v>Midmile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 table'!$L$41:$Q$41</c:f>
              <c:strCache>
                <c:ptCount val="6"/>
                <c:pt idx="0">
                  <c:v>V1</c:v>
                </c:pt>
                <c:pt idx="1">
                  <c:v>V2</c:v>
                </c:pt>
                <c:pt idx="2">
                  <c:v>V3</c:v>
                </c:pt>
                <c:pt idx="3">
                  <c:v>V2</c:v>
                </c:pt>
                <c:pt idx="4">
                  <c:v>V3</c:v>
                </c:pt>
                <c:pt idx="5">
                  <c:v>4wheel-3 m3</c:v>
                </c:pt>
              </c:strCache>
            </c:strRef>
          </c:cat>
          <c:val>
            <c:numRef>
              <c:f>'result table'!$L$44:$Q$44</c:f>
              <c:numCache>
                <c:formatCode>General</c:formatCode>
                <c:ptCount val="6"/>
                <c:pt idx="0">
                  <c:v>33.9</c:v>
                </c:pt>
                <c:pt idx="1">
                  <c:v>55.9</c:v>
                </c:pt>
                <c:pt idx="2">
                  <c:v>68.099999999999994</c:v>
                </c:pt>
                <c:pt idx="3">
                  <c:v>24.2</c:v>
                </c:pt>
                <c:pt idx="4">
                  <c:v>30.3</c:v>
                </c:pt>
                <c:pt idx="5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C-4FD0-B4EF-C18E02C3484D}"/>
            </c:ext>
          </c:extLst>
        </c:ser>
        <c:ser>
          <c:idx val="1"/>
          <c:order val="2"/>
          <c:tx>
            <c:strRef>
              <c:f>'result table'!$K$46:$K$47</c:f>
              <c:strCache>
                <c:ptCount val="1"/>
                <c:pt idx="0">
                  <c:v>Metropole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1.1533329870307252E-2"/>
                  <c:y val="4.1536456416972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DF-466B-BDFD-47CDB640D95D}"/>
                </c:ext>
              </c:extLst>
            </c:dLbl>
            <c:dLbl>
              <c:idx val="4"/>
              <c:layout>
                <c:manualLayout>
                  <c:x val="9.2266638962458011E-3"/>
                  <c:y val="4.1536456416972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DF-466B-BDFD-47CDB640D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 table'!$L$41:$Q$41</c:f>
              <c:strCache>
                <c:ptCount val="6"/>
                <c:pt idx="0">
                  <c:v>V1</c:v>
                </c:pt>
                <c:pt idx="1">
                  <c:v>V2</c:v>
                </c:pt>
                <c:pt idx="2">
                  <c:v>V3</c:v>
                </c:pt>
                <c:pt idx="3">
                  <c:v>V2</c:v>
                </c:pt>
                <c:pt idx="4">
                  <c:v>V3</c:v>
                </c:pt>
                <c:pt idx="5">
                  <c:v>4wheel-3 m3</c:v>
                </c:pt>
              </c:strCache>
            </c:strRef>
          </c:cat>
          <c:val>
            <c:numRef>
              <c:f>'result table'!$L$46:$Q$46</c:f>
              <c:numCache>
                <c:formatCode>General</c:formatCode>
                <c:ptCount val="6"/>
                <c:pt idx="1">
                  <c:v>75</c:v>
                </c:pt>
                <c:pt idx="2">
                  <c:v>92.4</c:v>
                </c:pt>
                <c:pt idx="3">
                  <c:v>25</c:v>
                </c:pt>
                <c:pt idx="4">
                  <c:v>32.5</c:v>
                </c:pt>
                <c:pt idx="5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1C-4FD0-B4EF-C18E02C34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9798080"/>
        <c:axId val="1429795584"/>
      </c:barChart>
      <c:catAx>
        <c:axId val="14297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795584"/>
        <c:crosses val="autoZero"/>
        <c:auto val="1"/>
        <c:lblAlgn val="ctr"/>
        <c:lblOffset val="100"/>
        <c:noMultiLvlLbl val="0"/>
      </c:catAx>
      <c:valAx>
        <c:axId val="142979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79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061643930087521"/>
          <c:y val="0.92825519530016865"/>
          <c:w val="0.39168623811508013"/>
          <c:h val="7.0093260791711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Vehicle-Related Cost of Delivery, </a:t>
            </a:r>
          </a:p>
          <a:p>
            <a:pPr>
              <a:defRPr/>
            </a:pPr>
            <a:r>
              <a:rPr lang="en-US"/>
              <a:t>€/year x kg x km</a:t>
            </a:r>
          </a:p>
        </c:rich>
      </c:tx>
      <c:layout>
        <c:manualLayout>
          <c:xMode val="edge"/>
          <c:yMode val="edge"/>
          <c:x val="0.17178872207349594"/>
          <c:y val="8.362423483002057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'result table'!$K$57</c:f>
              <c:strCache>
                <c:ptCount val="1"/>
                <c:pt idx="0">
                  <c:v>short range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'result table'!$L$57:$N$57</c:f>
              <c:numCache>
                <c:formatCode>0.00E+00</c:formatCode>
                <c:ptCount val="3"/>
                <c:pt idx="0">
                  <c:v>3.783887230336365E-4</c:v>
                </c:pt>
                <c:pt idx="1">
                  <c:v>2.5871247032901339E-4</c:v>
                </c:pt>
                <c:pt idx="2">
                  <c:v>1.9172427509431682E-4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E-469E-972F-C72CE9844DDE}"/>
            </c:ext>
          </c:extLst>
        </c:ser>
        <c:ser>
          <c:idx val="0"/>
          <c:order val="1"/>
          <c:tx>
            <c:strRef>
              <c:f>'result table'!$K$58</c:f>
              <c:strCache>
                <c:ptCount val="1"/>
                <c:pt idx="0">
                  <c:v>Midmile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'result table'!$L$41:$Q$41</c:f>
              <c:strCache>
                <c:ptCount val="6"/>
                <c:pt idx="0">
                  <c:v>V1</c:v>
                </c:pt>
                <c:pt idx="1">
                  <c:v>V2</c:v>
                </c:pt>
                <c:pt idx="2">
                  <c:v>V3</c:v>
                </c:pt>
                <c:pt idx="3">
                  <c:v>V2</c:v>
                </c:pt>
                <c:pt idx="4">
                  <c:v>V3</c:v>
                </c:pt>
                <c:pt idx="5">
                  <c:v>4wheel-3 m3</c:v>
                </c:pt>
              </c:strCache>
            </c:strRef>
          </c:cat>
          <c:val>
            <c:numRef>
              <c:f>'result table'!$L$58:$Q$58</c:f>
              <c:numCache>
                <c:formatCode>0.00E+00</c:formatCode>
                <c:ptCount val="6"/>
                <c:pt idx="0">
                  <c:v>3.1380700872351511E-4</c:v>
                </c:pt>
                <c:pt idx="1">
                  <c:v>2.2836997116351906E-4</c:v>
                </c:pt>
                <c:pt idx="2">
                  <c:v>1.7923004638007464E-4</c:v>
                </c:pt>
                <c:pt idx="3">
                  <c:v>1.3125066201857119E-4</c:v>
                </c:pt>
                <c:pt idx="4">
                  <c:v>1.0116007850528429E-4</c:v>
                </c:pt>
                <c:pt idx="5">
                  <c:v>4.5318198243229511E-4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4-4142-B293-3DB8AD260393}"/>
            </c:ext>
          </c:extLst>
        </c:ser>
        <c:ser>
          <c:idx val="1"/>
          <c:order val="2"/>
          <c:tx>
            <c:strRef>
              <c:f>'result table'!$K$60:$K$62</c:f>
              <c:strCache>
                <c:ptCount val="1"/>
                <c:pt idx="0">
                  <c:v>Metropole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'result table'!$L$41:$Q$41</c:f>
              <c:strCache>
                <c:ptCount val="6"/>
                <c:pt idx="0">
                  <c:v>V1</c:v>
                </c:pt>
                <c:pt idx="1">
                  <c:v>V2</c:v>
                </c:pt>
                <c:pt idx="2">
                  <c:v>V3</c:v>
                </c:pt>
                <c:pt idx="3">
                  <c:v>V2</c:v>
                </c:pt>
                <c:pt idx="4">
                  <c:v>V3</c:v>
                </c:pt>
                <c:pt idx="5">
                  <c:v>4wheel-3 m3</c:v>
                </c:pt>
              </c:strCache>
            </c:strRef>
          </c:cat>
          <c:val>
            <c:numRef>
              <c:f>'result table'!$L$60:$Q$60</c:f>
              <c:numCache>
                <c:formatCode>0.00E+00</c:formatCode>
                <c:ptCount val="6"/>
                <c:pt idx="1">
                  <c:v>2.7587370770582037E-4</c:v>
                </c:pt>
                <c:pt idx="2">
                  <c:v>2.2157054582338295E-4</c:v>
                </c:pt>
                <c:pt idx="3">
                  <c:v>1.1894429889601646E-4</c:v>
                </c:pt>
                <c:pt idx="4">
                  <c:v>9.5704391710660033E-5</c:v>
                </c:pt>
                <c:pt idx="5">
                  <c:v>6.5735798310931858E-4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4-4142-B293-3DB8AD260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9776416"/>
        <c:axId val="1479771840"/>
      </c:barChart>
      <c:catAx>
        <c:axId val="147977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9771840"/>
        <c:crossesAt val="0"/>
        <c:auto val="1"/>
        <c:lblAlgn val="ctr"/>
        <c:lblOffset val="100"/>
        <c:noMultiLvlLbl val="0"/>
      </c:catAx>
      <c:valAx>
        <c:axId val="147977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977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TCO!$A$28</c:f>
              <c:strCache>
                <c:ptCount val="1"/>
                <c:pt idx="0">
                  <c:v>annual cost per km per kg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TCO!$F$15:$K$15</c:f>
              <c:strCache>
                <c:ptCount val="6"/>
                <c:pt idx="0">
                  <c:v>3W medium V2</c:v>
                </c:pt>
                <c:pt idx="1">
                  <c:v>3W high V2</c:v>
                </c:pt>
                <c:pt idx="2">
                  <c:v>3W low V3</c:v>
                </c:pt>
                <c:pt idx="3">
                  <c:v>3W medium V3</c:v>
                </c:pt>
                <c:pt idx="4">
                  <c:v>3W high V3</c:v>
                </c:pt>
                <c:pt idx="5">
                  <c:v>4wheel mid-mile</c:v>
                </c:pt>
              </c:strCache>
            </c:strRef>
          </c:cat>
          <c:val>
            <c:numRef>
              <c:f>TCO!$F$28:$K$28</c:f>
              <c:numCache>
                <c:formatCode>0.00E+00</c:formatCode>
                <c:ptCount val="6"/>
                <c:pt idx="0">
                  <c:v>2.2836997116351906E-4</c:v>
                </c:pt>
                <c:pt idx="1">
                  <c:v>2.7587370770582037E-4</c:v>
                </c:pt>
                <c:pt idx="2">
                  <c:v>1.9172427509431682E-4</c:v>
                </c:pt>
                <c:pt idx="3">
                  <c:v>1.7923004638007464E-4</c:v>
                </c:pt>
                <c:pt idx="4">
                  <c:v>2.2157054582338295E-4</c:v>
                </c:pt>
                <c:pt idx="5">
                  <c:v>4.5318198243229511E-4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3-440C-B660-E33C363C9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8663440"/>
        <c:axId val="998659696"/>
      </c:barChart>
      <c:catAx>
        <c:axId val="99866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8659696"/>
        <c:crosses val="autoZero"/>
        <c:auto val="1"/>
        <c:lblAlgn val="ctr"/>
        <c:lblOffset val="100"/>
        <c:noMultiLvlLbl val="0"/>
      </c:catAx>
      <c:valAx>
        <c:axId val="99865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8663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TCO!$A$22</c:f>
              <c:strCache>
                <c:ptCount val="1"/>
                <c:pt idx="0">
                  <c:v>Energy consumption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TCO!$F$15:$K$15</c:f>
              <c:strCache>
                <c:ptCount val="6"/>
                <c:pt idx="0">
                  <c:v>3W medium V2</c:v>
                </c:pt>
                <c:pt idx="1">
                  <c:v>3W high V2</c:v>
                </c:pt>
                <c:pt idx="2">
                  <c:v>3W low V3</c:v>
                </c:pt>
                <c:pt idx="3">
                  <c:v>3W medium V3</c:v>
                </c:pt>
                <c:pt idx="4">
                  <c:v>3W high V3</c:v>
                </c:pt>
                <c:pt idx="5">
                  <c:v>4wheel mid-mile</c:v>
                </c:pt>
              </c:strCache>
            </c:strRef>
          </c:cat>
          <c:val>
            <c:numRef>
              <c:f>TCO!$F$22:$K$22</c:f>
              <c:numCache>
                <c:formatCode>0.00</c:formatCode>
                <c:ptCount val="6"/>
                <c:pt idx="0">
                  <c:v>55.889499999999998</c:v>
                </c:pt>
                <c:pt idx="1">
                  <c:v>74.983199999999997</c:v>
                </c:pt>
                <c:pt idx="2">
                  <c:v>60.71</c:v>
                </c:pt>
                <c:pt idx="3">
                  <c:v>68.11</c:v>
                </c:pt>
                <c:pt idx="4">
                  <c:v>92.4</c:v>
                </c:pt>
                <c:pt idx="5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8-40B1-A958-CEF8B4AA8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8527456"/>
        <c:axId val="998656368"/>
      </c:barChart>
      <c:catAx>
        <c:axId val="155852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8656368"/>
        <c:crosses val="autoZero"/>
        <c:auto val="1"/>
        <c:lblAlgn val="ctr"/>
        <c:lblOffset val="100"/>
        <c:noMultiLvlLbl val="0"/>
      </c:catAx>
      <c:valAx>
        <c:axId val="99865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8527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contribution to annual cost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5531496062992E-2"/>
          <c:y val="0.17171296296296298"/>
          <c:w val="0.88389129483814521"/>
          <c:h val="0.616092348485706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TCO!$A$30</c:f>
              <c:strCache>
                <c:ptCount val="1"/>
                <c:pt idx="0">
                  <c:v>Energy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TCO!$C$35:$P$35</c:f>
              <c:strCache>
                <c:ptCount val="14"/>
                <c:pt idx="0">
                  <c:v>V1 short</c:v>
                </c:pt>
                <c:pt idx="1">
                  <c:v>V1 mid</c:v>
                </c:pt>
                <c:pt idx="2">
                  <c:v>V2 short</c:v>
                </c:pt>
                <c:pt idx="3">
                  <c:v>V2 mid</c:v>
                </c:pt>
                <c:pt idx="4">
                  <c:v>V2 met</c:v>
                </c:pt>
                <c:pt idx="5">
                  <c:v>V3 short</c:v>
                </c:pt>
                <c:pt idx="6">
                  <c:v>V3 mid</c:v>
                </c:pt>
                <c:pt idx="7">
                  <c:v>V3 met</c:v>
                </c:pt>
                <c:pt idx="8">
                  <c:v>4-wheel mid</c:v>
                </c:pt>
                <c:pt idx="9">
                  <c:v>4-wheel met</c:v>
                </c:pt>
                <c:pt idx="10">
                  <c:v>V2 mid</c:v>
                </c:pt>
                <c:pt idx="11">
                  <c:v>V2 met</c:v>
                </c:pt>
                <c:pt idx="12">
                  <c:v>V3 mid</c:v>
                </c:pt>
                <c:pt idx="13">
                  <c:v>V3 met</c:v>
                </c:pt>
              </c:strCache>
            </c:strRef>
          </c:cat>
          <c:val>
            <c:numRef>
              <c:f>TCO!$C$30:$P$30</c:f>
              <c:numCache>
                <c:formatCode>0%</c:formatCode>
                <c:ptCount val="14"/>
                <c:pt idx="0">
                  <c:v>0.37699192820963523</c:v>
                </c:pt>
                <c:pt idx="1">
                  <c:v>0.47270445513490894</c:v>
                </c:pt>
                <c:pt idx="2">
                  <c:v>0.45281854065493565</c:v>
                </c:pt>
                <c:pt idx="3">
                  <c:v>0.535443767722243</c:v>
                </c:pt>
                <c:pt idx="4">
                  <c:v>0.59467036935876361</c:v>
                </c:pt>
                <c:pt idx="5">
                  <c:v>0.46186442289770285</c:v>
                </c:pt>
                <c:pt idx="6">
                  <c:v>0.55428285434104152</c:v>
                </c:pt>
                <c:pt idx="7">
                  <c:v>0.60826289596334615</c:v>
                </c:pt>
                <c:pt idx="8">
                  <c:v>0.31541680077244932</c:v>
                </c:pt>
                <c:pt idx="9">
                  <c:v>0.39615484395706102</c:v>
                </c:pt>
                <c:pt idx="10">
                  <c:v>0.4034005667611269</c:v>
                </c:pt>
                <c:pt idx="11">
                  <c:v>0.45985299419481579</c:v>
                </c:pt>
                <c:pt idx="12">
                  <c:v>0.43688270492394199</c:v>
                </c:pt>
                <c:pt idx="13">
                  <c:v>0.49531659112453624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A-4706-A17A-C296F1AD54B7}"/>
            </c:ext>
          </c:extLst>
        </c:ser>
        <c:ser>
          <c:idx val="1"/>
          <c:order val="1"/>
          <c:tx>
            <c:strRef>
              <c:f>TCO!$A$31</c:f>
              <c:strCache>
                <c:ptCount val="1"/>
                <c:pt idx="0">
                  <c:v>Capital cost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TCO!$C$35:$P$35</c:f>
              <c:strCache>
                <c:ptCount val="14"/>
                <c:pt idx="0">
                  <c:v>V1 short</c:v>
                </c:pt>
                <c:pt idx="1">
                  <c:v>V1 mid</c:v>
                </c:pt>
                <c:pt idx="2">
                  <c:v>V2 short</c:v>
                </c:pt>
                <c:pt idx="3">
                  <c:v>V2 mid</c:v>
                </c:pt>
                <c:pt idx="4">
                  <c:v>V2 met</c:v>
                </c:pt>
                <c:pt idx="5">
                  <c:v>V3 short</c:v>
                </c:pt>
                <c:pt idx="6">
                  <c:v>V3 mid</c:v>
                </c:pt>
                <c:pt idx="7">
                  <c:v>V3 met</c:v>
                </c:pt>
                <c:pt idx="8">
                  <c:v>4-wheel mid</c:v>
                </c:pt>
                <c:pt idx="9">
                  <c:v>4-wheel met</c:v>
                </c:pt>
                <c:pt idx="10">
                  <c:v>V2 mid</c:v>
                </c:pt>
                <c:pt idx="11">
                  <c:v>V2 met</c:v>
                </c:pt>
                <c:pt idx="12">
                  <c:v>V3 mid</c:v>
                </c:pt>
                <c:pt idx="13">
                  <c:v>V3 met</c:v>
                </c:pt>
              </c:strCache>
            </c:strRef>
          </c:cat>
          <c:val>
            <c:numRef>
              <c:f>TCO!$C$31:$P$31</c:f>
              <c:numCache>
                <c:formatCode>0%</c:formatCode>
                <c:ptCount val="14"/>
                <c:pt idx="0">
                  <c:v>0.5753890241713171</c:v>
                </c:pt>
                <c:pt idx="1">
                  <c:v>0.47967649724604333</c:v>
                </c:pt>
                <c:pt idx="2">
                  <c:v>0.49956241172601662</c:v>
                </c:pt>
                <c:pt idx="3">
                  <c:v>0.41693718465870921</c:v>
                </c:pt>
                <c:pt idx="4">
                  <c:v>0.35771058302218867</c:v>
                </c:pt>
                <c:pt idx="5">
                  <c:v>0.49051652948324947</c:v>
                </c:pt>
                <c:pt idx="6">
                  <c:v>0.39809809803991092</c:v>
                </c:pt>
                <c:pt idx="7">
                  <c:v>0.34411805641760612</c:v>
                </c:pt>
                <c:pt idx="8">
                  <c:v>0.63696415160850306</c:v>
                </c:pt>
                <c:pt idx="9">
                  <c:v>0.55622610842389142</c:v>
                </c:pt>
                <c:pt idx="10">
                  <c:v>0.54898038561982554</c:v>
                </c:pt>
                <c:pt idx="11">
                  <c:v>0.49252795818613654</c:v>
                </c:pt>
                <c:pt idx="12">
                  <c:v>0.51549824745701034</c:v>
                </c:pt>
                <c:pt idx="13">
                  <c:v>0.45706436125641609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6-41E2-B93B-96F0AF51C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6962768"/>
        <c:axId val="1546963184"/>
      </c:barChart>
      <c:catAx>
        <c:axId val="15469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6963184"/>
        <c:crosses val="autoZero"/>
        <c:auto val="1"/>
        <c:lblAlgn val="ctr"/>
        <c:lblOffset val="100"/>
        <c:noMultiLvlLbl val="0"/>
      </c:catAx>
      <c:valAx>
        <c:axId val="154696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696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842442917286729"/>
          <c:y val="0.92823353127586861"/>
          <c:w val="0.3431509282050888"/>
          <c:h val="6.4162122271304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contribution to annual cost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TCO!$A$30</c:f>
              <c:strCache>
                <c:ptCount val="1"/>
                <c:pt idx="0">
                  <c:v>Energy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TCO!$C$35:$P$35</c:f>
              <c:strCache>
                <c:ptCount val="14"/>
                <c:pt idx="0">
                  <c:v>V1 short</c:v>
                </c:pt>
                <c:pt idx="1">
                  <c:v>V1 mid</c:v>
                </c:pt>
                <c:pt idx="2">
                  <c:v>V2 short</c:v>
                </c:pt>
                <c:pt idx="3">
                  <c:v>V2 mid</c:v>
                </c:pt>
                <c:pt idx="4">
                  <c:v>V2 met</c:v>
                </c:pt>
                <c:pt idx="5">
                  <c:v>V3 short</c:v>
                </c:pt>
                <c:pt idx="6">
                  <c:v>V3 mid</c:v>
                </c:pt>
                <c:pt idx="7">
                  <c:v>V3 met</c:v>
                </c:pt>
                <c:pt idx="8">
                  <c:v>4-wheel mid</c:v>
                </c:pt>
                <c:pt idx="9">
                  <c:v>4-wheel met</c:v>
                </c:pt>
                <c:pt idx="10">
                  <c:v>V2 mid</c:v>
                </c:pt>
                <c:pt idx="11">
                  <c:v>V2 met</c:v>
                </c:pt>
                <c:pt idx="12">
                  <c:v>V3 mid</c:v>
                </c:pt>
                <c:pt idx="13">
                  <c:v>V3 met</c:v>
                </c:pt>
              </c:strCache>
            </c:strRef>
          </c:cat>
          <c:val>
            <c:numRef>
              <c:f>TCO!$C$30:$P$30</c:f>
              <c:numCache>
                <c:formatCode>0%</c:formatCode>
                <c:ptCount val="14"/>
                <c:pt idx="0">
                  <c:v>0.37699192820963523</c:v>
                </c:pt>
                <c:pt idx="1">
                  <c:v>0.47270445513490894</c:v>
                </c:pt>
                <c:pt idx="2">
                  <c:v>0.45281854065493565</c:v>
                </c:pt>
                <c:pt idx="3">
                  <c:v>0.535443767722243</c:v>
                </c:pt>
                <c:pt idx="4">
                  <c:v>0.59467036935876361</c:v>
                </c:pt>
                <c:pt idx="5">
                  <c:v>0.46186442289770285</c:v>
                </c:pt>
                <c:pt idx="6">
                  <c:v>0.55428285434104152</c:v>
                </c:pt>
                <c:pt idx="7">
                  <c:v>0.60826289596334615</c:v>
                </c:pt>
                <c:pt idx="8">
                  <c:v>0.31541680077244932</c:v>
                </c:pt>
                <c:pt idx="9">
                  <c:v>0.39615484395706102</c:v>
                </c:pt>
                <c:pt idx="10">
                  <c:v>0.4034005667611269</c:v>
                </c:pt>
                <c:pt idx="11">
                  <c:v>0.45985299419481579</c:v>
                </c:pt>
                <c:pt idx="12">
                  <c:v>0.43688270492394199</c:v>
                </c:pt>
                <c:pt idx="13">
                  <c:v>0.49531659112453624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C-4878-BC1E-5B9A743509B0}"/>
            </c:ext>
          </c:extLst>
        </c:ser>
        <c:ser>
          <c:idx val="1"/>
          <c:order val="1"/>
          <c:tx>
            <c:strRef>
              <c:f>TCO!$A$31</c:f>
              <c:strCache>
                <c:ptCount val="1"/>
                <c:pt idx="0">
                  <c:v>Capital cost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TCO!$C$35:$P$35</c:f>
              <c:strCache>
                <c:ptCount val="14"/>
                <c:pt idx="0">
                  <c:v>V1 short</c:v>
                </c:pt>
                <c:pt idx="1">
                  <c:v>V1 mid</c:v>
                </c:pt>
                <c:pt idx="2">
                  <c:v>V2 short</c:v>
                </c:pt>
                <c:pt idx="3">
                  <c:v>V2 mid</c:v>
                </c:pt>
                <c:pt idx="4">
                  <c:v>V2 met</c:v>
                </c:pt>
                <c:pt idx="5">
                  <c:v>V3 short</c:v>
                </c:pt>
                <c:pt idx="6">
                  <c:v>V3 mid</c:v>
                </c:pt>
                <c:pt idx="7">
                  <c:v>V3 met</c:v>
                </c:pt>
                <c:pt idx="8">
                  <c:v>4-wheel mid</c:v>
                </c:pt>
                <c:pt idx="9">
                  <c:v>4-wheel met</c:v>
                </c:pt>
                <c:pt idx="10">
                  <c:v>V2 mid</c:v>
                </c:pt>
                <c:pt idx="11">
                  <c:v>V2 met</c:v>
                </c:pt>
                <c:pt idx="12">
                  <c:v>V3 mid</c:v>
                </c:pt>
                <c:pt idx="13">
                  <c:v>V3 met</c:v>
                </c:pt>
              </c:strCache>
            </c:strRef>
          </c:cat>
          <c:val>
            <c:numRef>
              <c:f>TCO!$C$31:$P$31</c:f>
              <c:numCache>
                <c:formatCode>0%</c:formatCode>
                <c:ptCount val="14"/>
                <c:pt idx="0">
                  <c:v>0.5753890241713171</c:v>
                </c:pt>
                <c:pt idx="1">
                  <c:v>0.47967649724604333</c:v>
                </c:pt>
                <c:pt idx="2">
                  <c:v>0.49956241172601662</c:v>
                </c:pt>
                <c:pt idx="3">
                  <c:v>0.41693718465870921</c:v>
                </c:pt>
                <c:pt idx="4">
                  <c:v>0.35771058302218867</c:v>
                </c:pt>
                <c:pt idx="5">
                  <c:v>0.49051652948324947</c:v>
                </c:pt>
                <c:pt idx="6">
                  <c:v>0.39809809803991092</c:v>
                </c:pt>
                <c:pt idx="7">
                  <c:v>0.34411805641760612</c:v>
                </c:pt>
                <c:pt idx="8">
                  <c:v>0.63696415160850306</c:v>
                </c:pt>
                <c:pt idx="9">
                  <c:v>0.55622610842389142</c:v>
                </c:pt>
                <c:pt idx="10">
                  <c:v>0.54898038561982554</c:v>
                </c:pt>
                <c:pt idx="11">
                  <c:v>0.49252795818613654</c:v>
                </c:pt>
                <c:pt idx="12">
                  <c:v>0.51549824745701034</c:v>
                </c:pt>
                <c:pt idx="13">
                  <c:v>0.45706436125641609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CC-4878-BC1E-5B9A743509B0}"/>
            </c:ext>
          </c:extLst>
        </c:ser>
        <c:ser>
          <c:idx val="2"/>
          <c:order val="2"/>
          <c:tx>
            <c:strRef>
              <c:f>TCO!$A$32</c:f>
              <c:strCache>
                <c:ptCount val="1"/>
                <c:pt idx="0">
                  <c:v>Service cost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TCO!$C$35:$P$35</c:f>
              <c:strCache>
                <c:ptCount val="14"/>
                <c:pt idx="0">
                  <c:v>V1 short</c:v>
                </c:pt>
                <c:pt idx="1">
                  <c:v>V1 mid</c:v>
                </c:pt>
                <c:pt idx="2">
                  <c:v>V2 short</c:v>
                </c:pt>
                <c:pt idx="3">
                  <c:v>V2 mid</c:v>
                </c:pt>
                <c:pt idx="4">
                  <c:v>V2 met</c:v>
                </c:pt>
                <c:pt idx="5">
                  <c:v>V3 short</c:v>
                </c:pt>
                <c:pt idx="6">
                  <c:v>V3 mid</c:v>
                </c:pt>
                <c:pt idx="7">
                  <c:v>V3 met</c:v>
                </c:pt>
                <c:pt idx="8">
                  <c:v>4-wheel mid</c:v>
                </c:pt>
                <c:pt idx="9">
                  <c:v>4-wheel met</c:v>
                </c:pt>
                <c:pt idx="10">
                  <c:v>V2 mid</c:v>
                </c:pt>
                <c:pt idx="11">
                  <c:v>V2 met</c:v>
                </c:pt>
                <c:pt idx="12">
                  <c:v>V3 mid</c:v>
                </c:pt>
                <c:pt idx="13">
                  <c:v>V3 met</c:v>
                </c:pt>
              </c:strCache>
            </c:strRef>
          </c:cat>
          <c:val>
            <c:numRef>
              <c:f>TCO!$C$32:$P$32</c:f>
              <c:numCache>
                <c:formatCode>0%</c:formatCode>
                <c:ptCount val="1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CC-4878-BC1E-5B9A7435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6682560"/>
        <c:axId val="1046682080"/>
      </c:barChart>
      <c:catAx>
        <c:axId val="104668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682080"/>
        <c:crosses val="autoZero"/>
        <c:auto val="1"/>
        <c:lblAlgn val="ctr"/>
        <c:lblOffset val="100"/>
        <c:noMultiLvlLbl val="0"/>
      </c:catAx>
      <c:valAx>
        <c:axId val="104668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68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846189</xdr:colOff>
      <xdr:row>3</xdr:row>
      <xdr:rowOff>33618</xdr:rowOff>
    </xdr:from>
    <xdr:to>
      <xdr:col>15</xdr:col>
      <xdr:colOff>411443</xdr:colOff>
      <xdr:row>8</xdr:row>
      <xdr:rowOff>189966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16" t="4931" r="10333" b="4116"/>
        <a:stretch/>
      </xdr:blipFill>
      <xdr:spPr bwMode="auto">
        <a:xfrm>
          <a:off x="13699336" y="224118"/>
          <a:ext cx="1403019" cy="110884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1058527</xdr:colOff>
      <xdr:row>40</xdr:row>
      <xdr:rowOff>10056</xdr:rowOff>
    </xdr:from>
    <xdr:to>
      <xdr:col>6</xdr:col>
      <xdr:colOff>508748</xdr:colOff>
      <xdr:row>53</xdr:row>
      <xdr:rowOff>165288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1058527" y="8593762"/>
          <a:ext cx="5512603" cy="3057555"/>
          <a:chOff x="2553070" y="13017994"/>
          <a:chExt cx="4508777" cy="3034697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aphicFramePr/>
        </xdr:nvGraphicFramePr>
        <xdr:xfrm>
          <a:off x="2553070" y="13017994"/>
          <a:ext cx="4508777" cy="30346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1" name="Rectangle: Rounded Corners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2927114" y="13388370"/>
            <a:ext cx="2403785" cy="239627"/>
          </a:xfrm>
          <a:prstGeom prst="roundRect">
            <a:avLst/>
          </a:prstGeom>
          <a:solidFill>
            <a:srgbClr val="00B0F0">
              <a:alpha val="40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>
                <a:solidFill>
                  <a:sysClr val="windowText" lastClr="000000"/>
                </a:solidFill>
              </a:rPr>
              <a:t>WMTC</a:t>
            </a:r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" name="Rectangle: Rounded Corners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391084" y="13394026"/>
            <a:ext cx="1418016" cy="235861"/>
          </a:xfrm>
          <a:prstGeom prst="roundRect">
            <a:avLst/>
          </a:prstGeom>
          <a:solidFill>
            <a:srgbClr val="00B0F0">
              <a:alpha val="40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>
                <a:solidFill>
                  <a:sysClr val="windowText" lastClr="000000"/>
                </a:solidFill>
              </a:rPr>
              <a:t>WLTC</a:t>
            </a:r>
            <a:endParaRPr lang="en-US" sz="10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0</xdr:col>
      <xdr:colOff>1076965</xdr:colOff>
      <xdr:row>54</xdr:row>
      <xdr:rowOff>11318</xdr:rowOff>
    </xdr:from>
    <xdr:to>
      <xdr:col>6</xdr:col>
      <xdr:colOff>504265</xdr:colOff>
      <xdr:row>71</xdr:row>
      <xdr:rowOff>22412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1076965" y="11878347"/>
          <a:ext cx="5489682" cy="3395271"/>
          <a:chOff x="7457010" y="12968495"/>
          <a:chExt cx="4443702" cy="2882348"/>
        </a:xfrm>
      </xdr:grpSpPr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aphicFramePr/>
        </xdr:nvGraphicFramePr>
        <xdr:xfrm>
          <a:off x="7457010" y="12968495"/>
          <a:ext cx="4443702" cy="28823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3" name="Rectangle: Rounded Corners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8073925" y="13460268"/>
            <a:ext cx="1827527" cy="239612"/>
          </a:xfrm>
          <a:prstGeom prst="roundRect">
            <a:avLst/>
          </a:prstGeom>
          <a:solidFill>
            <a:srgbClr val="00B0F0">
              <a:alpha val="40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>
                <a:solidFill>
                  <a:sysClr val="windowText" lastClr="000000"/>
                </a:solidFill>
              </a:rPr>
              <a:t>WMTC</a:t>
            </a:r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4" name="Rectangle: Rounded Corners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9979404" y="13456541"/>
            <a:ext cx="1723592" cy="233897"/>
          </a:xfrm>
          <a:prstGeom prst="roundRect">
            <a:avLst/>
          </a:prstGeom>
          <a:solidFill>
            <a:srgbClr val="00B0F0">
              <a:alpha val="40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>
                <a:solidFill>
                  <a:sysClr val="windowText" lastClr="000000"/>
                </a:solidFill>
              </a:rPr>
              <a:t>WLTC</a:t>
            </a:r>
            <a:endParaRPr lang="en-US" sz="10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11</xdr:col>
      <xdr:colOff>326432</xdr:colOff>
      <xdr:row>3</xdr:row>
      <xdr:rowOff>22410</xdr:rowOff>
    </xdr:from>
    <xdr:to>
      <xdr:col>12</xdr:col>
      <xdr:colOff>658167</xdr:colOff>
      <xdr:row>8</xdr:row>
      <xdr:rowOff>146587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5" t="22232" r="9184" b="672"/>
        <a:stretch/>
      </xdr:blipFill>
      <xdr:spPr bwMode="auto">
        <a:xfrm>
          <a:off x="11341814" y="313763"/>
          <a:ext cx="1183382" cy="1076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274301</xdr:colOff>
      <xdr:row>3</xdr:row>
      <xdr:rowOff>33618</xdr:rowOff>
    </xdr:from>
    <xdr:to>
      <xdr:col>6</xdr:col>
      <xdr:colOff>618608</xdr:colOff>
      <xdr:row>8</xdr:row>
      <xdr:rowOff>189966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252EFB9-F5A7-4CA5-A935-A2C6B1E2C1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16" t="4931" r="10333" b="4116"/>
        <a:stretch/>
      </xdr:blipFill>
      <xdr:spPr bwMode="auto">
        <a:xfrm>
          <a:off x="5283330" y="324971"/>
          <a:ext cx="1397660" cy="110884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188386</xdr:colOff>
      <xdr:row>106</xdr:row>
      <xdr:rowOff>50933</xdr:rowOff>
    </xdr:from>
    <xdr:to>
      <xdr:col>1</xdr:col>
      <xdr:colOff>843488</xdr:colOff>
      <xdr:row>107</xdr:row>
      <xdr:rowOff>141859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8DCD88B9-A154-4FBD-89AB-9E74A6E19E49}"/>
            </a:ext>
          </a:extLst>
        </xdr:cNvPr>
        <xdr:cNvGrpSpPr/>
      </xdr:nvGrpSpPr>
      <xdr:grpSpPr>
        <a:xfrm>
          <a:off x="1488268" y="22160139"/>
          <a:ext cx="359827" cy="281426"/>
          <a:chOff x="1220394" y="16958824"/>
          <a:chExt cx="657549" cy="281426"/>
        </a:xfrm>
      </xdr:grpSpPr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4492B576-3534-98FF-B34C-FCEFA4B6AD10}"/>
              </a:ext>
            </a:extLst>
          </xdr:cNvPr>
          <xdr:cNvSpPr txBox="1"/>
        </xdr:nvSpPr>
        <xdr:spPr>
          <a:xfrm>
            <a:off x="1300596" y="17063605"/>
            <a:ext cx="513483" cy="17664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/>
              <a:t>V1</a:t>
            </a:r>
          </a:p>
        </xdr:txBody>
      </xdr:sp>
      <xdr:sp macro="" textlink="">
        <xdr:nvSpPr>
          <xdr:cNvPr id="32" name="Left Brace 31">
            <a:extLst>
              <a:ext uri="{FF2B5EF4-FFF2-40B4-BE49-F238E27FC236}">
                <a16:creationId xmlns:a16="http://schemas.microsoft.com/office/drawing/2014/main" id="{79D40DFF-D132-3407-6958-C800223561D0}"/>
              </a:ext>
            </a:extLst>
          </xdr:cNvPr>
          <xdr:cNvSpPr/>
        </xdr:nvSpPr>
        <xdr:spPr>
          <a:xfrm rot="16200000">
            <a:off x="1477055" y="16702163"/>
            <a:ext cx="144227" cy="657549"/>
          </a:xfrm>
          <a:prstGeom prst="leftBrace">
            <a:avLst/>
          </a:prstGeom>
          <a:ln w="952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78188</xdr:colOff>
      <xdr:row>106</xdr:row>
      <xdr:rowOff>43140</xdr:rowOff>
    </xdr:from>
    <xdr:to>
      <xdr:col>3</xdr:col>
      <xdr:colOff>71647</xdr:colOff>
      <xdr:row>107</xdr:row>
      <xdr:rowOff>134066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F13BBCCA-9425-4D00-9820-5CE587F5FF92}"/>
            </a:ext>
          </a:extLst>
        </xdr:cNvPr>
        <xdr:cNvGrpSpPr/>
      </xdr:nvGrpSpPr>
      <xdr:grpSpPr>
        <a:xfrm>
          <a:off x="1927159" y="22152346"/>
          <a:ext cx="1046812" cy="281426"/>
          <a:chOff x="1220394" y="16958824"/>
          <a:chExt cx="657549" cy="281426"/>
        </a:xfrm>
      </xdr:grpSpPr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59A29365-12B6-EE63-1199-ECB014B1D906}"/>
              </a:ext>
            </a:extLst>
          </xdr:cNvPr>
          <xdr:cNvSpPr txBox="1"/>
        </xdr:nvSpPr>
        <xdr:spPr>
          <a:xfrm>
            <a:off x="1300596" y="17063605"/>
            <a:ext cx="513483" cy="17664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/>
              <a:t>V2</a:t>
            </a:r>
          </a:p>
        </xdr:txBody>
      </xdr:sp>
      <xdr:sp macro="" textlink="">
        <xdr:nvSpPr>
          <xdr:cNvPr id="40" name="Left Brace 39">
            <a:extLst>
              <a:ext uri="{FF2B5EF4-FFF2-40B4-BE49-F238E27FC236}">
                <a16:creationId xmlns:a16="http://schemas.microsoft.com/office/drawing/2014/main" id="{10E1585C-66DA-2F83-507F-EA28F6B841CA}"/>
              </a:ext>
            </a:extLst>
          </xdr:cNvPr>
          <xdr:cNvSpPr/>
        </xdr:nvSpPr>
        <xdr:spPr>
          <a:xfrm rot="16200000">
            <a:off x="1477055" y="16702163"/>
            <a:ext cx="144227" cy="657549"/>
          </a:xfrm>
          <a:prstGeom prst="leftBrace">
            <a:avLst/>
          </a:prstGeom>
          <a:ln w="952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3</xdr:col>
      <xdr:colOff>300616</xdr:colOff>
      <xdr:row>106</xdr:row>
      <xdr:rowOff>39527</xdr:rowOff>
    </xdr:from>
    <xdr:to>
      <xdr:col>4</xdr:col>
      <xdr:colOff>300288</xdr:colOff>
      <xdr:row>107</xdr:row>
      <xdr:rowOff>130453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E3B0BF6E-7D13-4A7A-AD01-891F3060B3AC}"/>
            </a:ext>
          </a:extLst>
        </xdr:cNvPr>
        <xdr:cNvGrpSpPr/>
      </xdr:nvGrpSpPr>
      <xdr:grpSpPr>
        <a:xfrm>
          <a:off x="3202940" y="22148733"/>
          <a:ext cx="1053024" cy="281426"/>
          <a:chOff x="1220394" y="16958824"/>
          <a:chExt cx="657549" cy="281426"/>
        </a:xfrm>
      </xdr:grpSpPr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1E52F8F0-023A-2FBD-38C3-223B9867D390}"/>
              </a:ext>
            </a:extLst>
          </xdr:cNvPr>
          <xdr:cNvSpPr txBox="1"/>
        </xdr:nvSpPr>
        <xdr:spPr>
          <a:xfrm>
            <a:off x="1300596" y="17063605"/>
            <a:ext cx="513483" cy="17664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/>
              <a:t>V3</a:t>
            </a:r>
          </a:p>
        </xdr:txBody>
      </xdr:sp>
      <xdr:sp macro="" textlink="">
        <xdr:nvSpPr>
          <xdr:cNvPr id="57" name="Left Brace 56">
            <a:extLst>
              <a:ext uri="{FF2B5EF4-FFF2-40B4-BE49-F238E27FC236}">
                <a16:creationId xmlns:a16="http://schemas.microsoft.com/office/drawing/2014/main" id="{2A70D64A-C5B1-D36C-54C4-405E2D181C67}"/>
              </a:ext>
            </a:extLst>
          </xdr:cNvPr>
          <xdr:cNvSpPr/>
        </xdr:nvSpPr>
        <xdr:spPr>
          <a:xfrm rot="16200000">
            <a:off x="1477055" y="16702163"/>
            <a:ext cx="144227" cy="657549"/>
          </a:xfrm>
          <a:prstGeom prst="leftBrace">
            <a:avLst/>
          </a:prstGeom>
          <a:ln w="952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</xdr:col>
      <xdr:colOff>460695</xdr:colOff>
      <xdr:row>106</xdr:row>
      <xdr:rowOff>51798</xdr:rowOff>
    </xdr:from>
    <xdr:to>
      <xdr:col>5</xdr:col>
      <xdr:colOff>66353</xdr:colOff>
      <xdr:row>107</xdr:row>
      <xdr:rowOff>142724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367557C2-BA9B-4874-B72F-A23CDB7DAB52}"/>
            </a:ext>
          </a:extLst>
        </xdr:cNvPr>
        <xdr:cNvGrpSpPr/>
      </xdr:nvGrpSpPr>
      <xdr:grpSpPr>
        <a:xfrm>
          <a:off x="4416371" y="22161004"/>
          <a:ext cx="659011" cy="281426"/>
          <a:chOff x="1220394" y="16958824"/>
          <a:chExt cx="657549" cy="281426"/>
        </a:xfrm>
      </xdr:grpSpPr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89414D27-D3C3-B700-E5BB-3DFC636E0E79}"/>
              </a:ext>
            </a:extLst>
          </xdr:cNvPr>
          <xdr:cNvSpPr txBox="1"/>
        </xdr:nvSpPr>
        <xdr:spPr>
          <a:xfrm>
            <a:off x="1300596" y="17063605"/>
            <a:ext cx="513483" cy="17664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/>
              <a:t>V2</a:t>
            </a:r>
          </a:p>
        </xdr:txBody>
      </xdr:sp>
      <xdr:sp macro="" textlink="">
        <xdr:nvSpPr>
          <xdr:cNvPr id="60" name="Left Brace 59">
            <a:extLst>
              <a:ext uri="{FF2B5EF4-FFF2-40B4-BE49-F238E27FC236}">
                <a16:creationId xmlns:a16="http://schemas.microsoft.com/office/drawing/2014/main" id="{AD6AA984-5C47-0514-22A0-23507F4E30EA}"/>
              </a:ext>
            </a:extLst>
          </xdr:cNvPr>
          <xdr:cNvSpPr/>
        </xdr:nvSpPr>
        <xdr:spPr>
          <a:xfrm rot="16200000">
            <a:off x="1477055" y="16702163"/>
            <a:ext cx="144227" cy="657549"/>
          </a:xfrm>
          <a:prstGeom prst="leftBrace">
            <a:avLst/>
          </a:prstGeom>
          <a:ln w="952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5</xdr:col>
      <xdr:colOff>237553</xdr:colOff>
      <xdr:row>106</xdr:row>
      <xdr:rowOff>48334</xdr:rowOff>
    </xdr:from>
    <xdr:to>
      <xdr:col>5</xdr:col>
      <xdr:colOff>895102</xdr:colOff>
      <xdr:row>107</xdr:row>
      <xdr:rowOff>139260</xdr:rowOff>
    </xdr:to>
    <xdr:grpSp>
      <xdr:nvGrpSpPr>
        <xdr:cNvPr id="61" name="Group 60">
          <a:extLst>
            <a:ext uri="{FF2B5EF4-FFF2-40B4-BE49-F238E27FC236}">
              <a16:creationId xmlns:a16="http://schemas.microsoft.com/office/drawing/2014/main" id="{E4127D56-6401-43D5-821D-23DCC66349E5}"/>
            </a:ext>
          </a:extLst>
        </xdr:cNvPr>
        <xdr:cNvGrpSpPr/>
      </xdr:nvGrpSpPr>
      <xdr:grpSpPr>
        <a:xfrm>
          <a:off x="5246582" y="22157540"/>
          <a:ext cx="657549" cy="281426"/>
          <a:chOff x="1220394" y="16958824"/>
          <a:chExt cx="657549" cy="281426"/>
        </a:xfrm>
      </xdr:grpSpPr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5EBC8492-578C-9D54-D270-5EF8B55B876F}"/>
              </a:ext>
            </a:extLst>
          </xdr:cNvPr>
          <xdr:cNvSpPr txBox="1"/>
        </xdr:nvSpPr>
        <xdr:spPr>
          <a:xfrm>
            <a:off x="1300596" y="17063605"/>
            <a:ext cx="513483" cy="17664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900"/>
              <a:t>V3</a:t>
            </a:r>
          </a:p>
        </xdr:txBody>
      </xdr:sp>
      <xdr:sp macro="" textlink="">
        <xdr:nvSpPr>
          <xdr:cNvPr id="63" name="Left Brace 62">
            <a:extLst>
              <a:ext uri="{FF2B5EF4-FFF2-40B4-BE49-F238E27FC236}">
                <a16:creationId xmlns:a16="http://schemas.microsoft.com/office/drawing/2014/main" id="{09633DCB-FD57-51EC-CBB1-20769232C07A}"/>
              </a:ext>
            </a:extLst>
          </xdr:cNvPr>
          <xdr:cNvSpPr/>
        </xdr:nvSpPr>
        <xdr:spPr>
          <a:xfrm rot="16200000">
            <a:off x="1477055" y="16702163"/>
            <a:ext cx="144227" cy="657549"/>
          </a:xfrm>
          <a:prstGeom prst="leftBrace">
            <a:avLst/>
          </a:prstGeom>
          <a:ln w="952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799367</xdr:colOff>
      <xdr:row>36</xdr:row>
      <xdr:rowOff>71436</xdr:rowOff>
    </xdr:from>
    <xdr:to>
      <xdr:col>6</xdr:col>
      <xdr:colOff>367811</xdr:colOff>
      <xdr:row>56</xdr:row>
      <xdr:rowOff>57149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54219</xdr:colOff>
      <xdr:row>36</xdr:row>
      <xdr:rowOff>43594</xdr:rowOff>
    </xdr:from>
    <xdr:to>
      <xdr:col>14</xdr:col>
      <xdr:colOff>663819</xdr:colOff>
      <xdr:row>55</xdr:row>
      <xdr:rowOff>172182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4369</xdr:colOff>
      <xdr:row>36</xdr:row>
      <xdr:rowOff>77375</xdr:rowOff>
    </xdr:from>
    <xdr:to>
      <xdr:col>17</xdr:col>
      <xdr:colOff>2952750</xdr:colOff>
      <xdr:row>55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57</xdr:row>
      <xdr:rowOff>19463</xdr:rowOff>
    </xdr:from>
    <xdr:to>
      <xdr:col>17</xdr:col>
      <xdr:colOff>2924175</xdr:colOff>
      <xdr:row>75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854F3E-4C4F-2B99-CE94-8A1AF86C3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514350</xdr:colOff>
      <xdr:row>59</xdr:row>
      <xdr:rowOff>95250</xdr:rowOff>
    </xdr:from>
    <xdr:to>
      <xdr:col>17</xdr:col>
      <xdr:colOff>748942</xdr:colOff>
      <xdr:row>60</xdr:row>
      <xdr:rowOff>175047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61712EDA-183F-8B7C-316A-5B913C5BE496}"/>
            </a:ext>
          </a:extLst>
        </xdr:cNvPr>
        <xdr:cNvSpPr/>
      </xdr:nvSpPr>
      <xdr:spPr>
        <a:xfrm>
          <a:off x="11982450" y="11029950"/>
          <a:ext cx="2568217" cy="270297"/>
        </a:xfrm>
        <a:prstGeom prst="roundRect">
          <a:avLst/>
        </a:prstGeom>
        <a:solidFill>
          <a:srgbClr val="00B0F0">
            <a:alpha val="4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900">
              <a:solidFill>
                <a:sysClr val="windowText" lastClr="000000"/>
              </a:solidFill>
            </a:rPr>
            <a:t>WMTC</a:t>
          </a:r>
          <a:endParaRPr 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809368</xdr:colOff>
      <xdr:row>59</xdr:row>
      <xdr:rowOff>95511</xdr:rowOff>
    </xdr:from>
    <xdr:to>
      <xdr:col>17</xdr:col>
      <xdr:colOff>2776282</xdr:colOff>
      <xdr:row>60</xdr:row>
      <xdr:rowOff>177691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E1D0D532-F336-579B-2F47-D5A9B195A4C4}"/>
            </a:ext>
          </a:extLst>
        </xdr:cNvPr>
        <xdr:cNvSpPr/>
      </xdr:nvSpPr>
      <xdr:spPr>
        <a:xfrm>
          <a:off x="14611093" y="11030211"/>
          <a:ext cx="1966914" cy="272680"/>
        </a:xfrm>
        <a:prstGeom prst="roundRect">
          <a:avLst/>
        </a:prstGeom>
        <a:solidFill>
          <a:srgbClr val="00B0F0">
            <a:alpha val="4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900">
              <a:solidFill>
                <a:sysClr val="windowText" lastClr="000000"/>
              </a:solidFill>
            </a:rPr>
            <a:t>WLTC</a:t>
          </a:r>
          <a:endParaRPr lang="en-US" sz="10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0.09542</cdr:x>
      <cdr:y>0.12993</cdr:y>
    </cdr:from>
    <cdr:to>
      <cdr:x>0.58164</cdr:x>
      <cdr:y>0.20253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B5F5EE73-FC66-2E6A-D3E3-2F9A5C2217CB}"/>
            </a:ext>
          </a:extLst>
        </cdr:cNvPr>
        <cdr:cNvSpPr/>
      </cdr:nvSpPr>
      <cdr:spPr>
        <a:xfrm xmlns:a="http://schemas.openxmlformats.org/drawingml/2006/main">
          <a:off x="504009" y="483742"/>
          <a:ext cx="2568197" cy="270297"/>
        </a:xfrm>
        <a:prstGeom xmlns:a="http://schemas.openxmlformats.org/drawingml/2006/main" prst="roundRect">
          <a:avLst/>
        </a:prstGeom>
        <a:solidFill xmlns:a="http://schemas.openxmlformats.org/drawingml/2006/main">
          <a:srgbClr val="00B0F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>
              <a:solidFill>
                <a:sysClr val="windowText" lastClr="000000"/>
              </a:solidFill>
            </a:rPr>
            <a:t>WMTC</a:t>
          </a:r>
          <a:endParaRPr lang="en-US" sz="10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0.59308</cdr:x>
      <cdr:y>0.13</cdr:y>
    </cdr:from>
    <cdr:to>
      <cdr:x>0.96546</cdr:x>
      <cdr:y>0.20324</cdr:y>
    </cdr:to>
    <cdr:sp macro="" textlink="">
      <cdr:nvSpPr>
        <cdr:cNvPr id="3" name="Rectangle: Rounded Corners 2">
          <a:extLst xmlns:a="http://schemas.openxmlformats.org/drawingml/2006/main">
            <a:ext uri="{FF2B5EF4-FFF2-40B4-BE49-F238E27FC236}">
              <a16:creationId xmlns:a16="http://schemas.microsoft.com/office/drawing/2014/main" id="{CB2A0916-8688-4138-8DB1-DF8F569F036E}"/>
            </a:ext>
          </a:extLst>
        </cdr:cNvPr>
        <cdr:cNvSpPr/>
      </cdr:nvSpPr>
      <cdr:spPr>
        <a:xfrm xmlns:a="http://schemas.openxmlformats.org/drawingml/2006/main">
          <a:off x="3135596" y="483987"/>
          <a:ext cx="1968713" cy="272680"/>
        </a:xfrm>
        <a:prstGeom xmlns:a="http://schemas.openxmlformats.org/drawingml/2006/main" prst="roundRect">
          <a:avLst/>
        </a:prstGeom>
        <a:solidFill xmlns:a="http://schemas.openxmlformats.org/drawingml/2006/main">
          <a:srgbClr val="00B0F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>
              <a:solidFill>
                <a:sysClr val="windowText" lastClr="000000"/>
              </a:solidFill>
            </a:rPr>
            <a:t>WLTC</a:t>
          </a:r>
          <a:endParaRPr lang="en-US" sz="1000">
            <a:solidFill>
              <a:sysClr val="windowText" lastClr="000000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455734</xdr:colOff>
      <xdr:row>5</xdr:row>
      <xdr:rowOff>74734</xdr:rowOff>
    </xdr:from>
    <xdr:to>
      <xdr:col>29</xdr:col>
      <xdr:colOff>126022</xdr:colOff>
      <xdr:row>5</xdr:row>
      <xdr:rowOff>96715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 rot="5340000" flipH="1">
          <a:off x="14310945" y="404446"/>
          <a:ext cx="21981" cy="88655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2739838</xdr:colOff>
      <xdr:row>109</xdr:row>
      <xdr:rowOff>114860</xdr:rowOff>
    </xdr:from>
    <xdr:to>
      <xdr:col>12</xdr:col>
      <xdr:colOff>249891</xdr:colOff>
      <xdr:row>122</xdr:row>
      <xdr:rowOff>126066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BD081-9201-4887-9124-D48F7F0FA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318" t="40789" r="9093" b="34334"/>
        <a:stretch/>
      </xdr:blipFill>
      <xdr:spPr>
        <a:xfrm>
          <a:off x="2739838" y="22317635"/>
          <a:ext cx="9035303" cy="248770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425824</xdr:colOff>
      <xdr:row>4</xdr:row>
      <xdr:rowOff>410694</xdr:rowOff>
    </xdr:from>
    <xdr:to>
      <xdr:col>25</xdr:col>
      <xdr:colOff>336177</xdr:colOff>
      <xdr:row>12</xdr:row>
      <xdr:rowOff>176415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8C5EB5-2144-03E3-AA0B-0B110DB87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4559" y="1273547"/>
          <a:ext cx="4751294" cy="2634427"/>
        </a:xfrm>
        <a:prstGeom prst="rect">
          <a:avLst/>
        </a:prstGeom>
      </xdr:spPr>
    </xdr:pic>
    <xdr:clientData/>
  </xdr:twoCellAnchor>
  <xdr:twoCellAnchor editAs="oneCell">
    <xdr:from>
      <xdr:col>5</xdr:col>
      <xdr:colOff>369796</xdr:colOff>
      <xdr:row>61</xdr:row>
      <xdr:rowOff>78442</xdr:rowOff>
    </xdr:from>
    <xdr:to>
      <xdr:col>16</xdr:col>
      <xdr:colOff>526677</xdr:colOff>
      <xdr:row>87</xdr:row>
      <xdr:rowOff>131040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66B92-3A1C-6245-0389-B71347625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972" t="29956" r="30870" b="22345"/>
        <a:stretch/>
      </xdr:blipFill>
      <xdr:spPr>
        <a:xfrm>
          <a:off x="5311590" y="13458266"/>
          <a:ext cx="6891616" cy="5005598"/>
        </a:xfrm>
        <a:prstGeom prst="rect">
          <a:avLst/>
        </a:prstGeom>
      </xdr:spPr>
    </xdr:pic>
    <xdr:clientData/>
  </xdr:twoCellAnchor>
  <xdr:twoCellAnchor editAs="oneCell">
    <xdr:from>
      <xdr:col>17</xdr:col>
      <xdr:colOff>280146</xdr:colOff>
      <xdr:row>18</xdr:row>
      <xdr:rowOff>168088</xdr:rowOff>
    </xdr:from>
    <xdr:to>
      <xdr:col>25</xdr:col>
      <xdr:colOff>259908</xdr:colOff>
      <xdr:row>40</xdr:row>
      <xdr:rowOff>145676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329FCD-A351-0863-CC63-8D0303BDD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06617" y="5132294"/>
          <a:ext cx="4820703" cy="42134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200905</xdr:colOff>
      <xdr:row>69</xdr:row>
      <xdr:rowOff>57706</xdr:rowOff>
    </xdr:from>
    <xdr:to>
      <xdr:col>11</xdr:col>
      <xdr:colOff>244928</xdr:colOff>
      <xdr:row>96</xdr:row>
      <xdr:rowOff>8376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AF58E6-E3B5-456D-0656-65DDC0A4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3405" y="14399635"/>
          <a:ext cx="3826809" cy="53799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97421</xdr:colOff>
      <xdr:row>23</xdr:row>
      <xdr:rowOff>57229</xdr:rowOff>
    </xdr:from>
    <xdr:to>
      <xdr:col>5</xdr:col>
      <xdr:colOff>974616</xdr:colOff>
      <xdr:row>69</xdr:row>
      <xdr:rowOff>76713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21" y="5256758"/>
          <a:ext cx="6188783" cy="8782484"/>
        </a:xfrm>
        <a:prstGeom prst="rect">
          <a:avLst/>
        </a:prstGeom>
      </xdr:spPr>
    </xdr:pic>
    <xdr:clientData/>
  </xdr:twoCellAnchor>
  <xdr:twoCellAnchor editAs="oneCell">
    <xdr:from>
      <xdr:col>6</xdr:col>
      <xdr:colOff>50675</xdr:colOff>
      <xdr:row>23</xdr:row>
      <xdr:rowOff>103758</xdr:rowOff>
    </xdr:from>
    <xdr:to>
      <xdr:col>12</xdr:col>
      <xdr:colOff>840987</xdr:colOff>
      <xdr:row>77</xdr:row>
      <xdr:rowOff>112754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5616" y="5303287"/>
          <a:ext cx="7267312" cy="10295996"/>
        </a:xfrm>
        <a:prstGeom prst="rect">
          <a:avLst/>
        </a:prstGeom>
      </xdr:spPr>
    </xdr:pic>
    <xdr:clientData/>
  </xdr:twoCellAnchor>
  <xdr:twoCellAnchor editAs="oneCell">
    <xdr:from>
      <xdr:col>13</xdr:col>
      <xdr:colOff>449116</xdr:colOff>
      <xdr:row>23</xdr:row>
      <xdr:rowOff>170857</xdr:rowOff>
    </xdr:from>
    <xdr:to>
      <xdr:col>22</xdr:col>
      <xdr:colOff>545924</xdr:colOff>
      <xdr:row>76</xdr:row>
      <xdr:rowOff>140548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10792" y="5370386"/>
          <a:ext cx="6943603" cy="100661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fekacollege-my.sharepoint.com/personal/danh_afeka_ac_il/Documents/Liberec/dissertation/Paper/concept%20table%20-%20aug%202023.xlsx" TargetMode="External"/><Relationship Id="rId1" Type="http://schemas.openxmlformats.org/officeDocument/2006/relationships/externalLinkPath" Target="Paper/concept%20table%20-%20aug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cjeCBFJp6EG5nkjiq0pr3A92ejy2nmpJn0X1701DaQf1YD8bhvQVTZidVRQUQ_QK" itemId="012JX4NUCVFFYD3AEMHFGLIRYVTMRPJMM6">
      <xxl21:absoluteUrl r:id="rId2"/>
    </xxl21:alternateUrls>
    <sheetNames>
      <sheetName val="result table"/>
      <sheetName val="for paper"/>
      <sheetName val="TCO"/>
      <sheetName val="packaging"/>
      <sheetName val="decision matrix"/>
      <sheetName val="graphs"/>
      <sheetName val="performance"/>
      <sheetName val="vehicle data"/>
    </sheetNames>
    <sheetDataSet>
      <sheetData sheetId="0"/>
      <sheetData sheetId="1"/>
      <sheetData sheetId="2"/>
      <sheetData sheetId="3"/>
      <sheetData sheetId="4">
        <row r="19">
          <cell r="D19" t="str">
            <v>V1</v>
          </cell>
          <cell r="E19" t="str">
            <v>V1</v>
          </cell>
          <cell r="F19" t="str">
            <v>V2</v>
          </cell>
        </row>
        <row r="20">
          <cell r="D20">
            <v>1</v>
          </cell>
          <cell r="E20">
            <v>1</v>
          </cell>
          <cell r="F20">
            <v>2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974E8-4C65-4815-AFCC-B7908D980BC8}">
  <dimension ref="A1:Q146"/>
  <sheetViews>
    <sheetView tabSelected="1" zoomScale="85" zoomScaleNormal="85" workbookViewId="0">
      <selection activeCell="D6" sqref="D6"/>
    </sheetView>
  </sheetViews>
  <sheetFormatPr defaultRowHeight="15" x14ac:dyDescent="0.25"/>
  <cols>
    <col min="1" max="1" width="19.42578125" customWidth="1"/>
    <col min="2" max="2" width="8.28515625" customWidth="1"/>
    <col min="3" max="10" width="15.7109375" customWidth="1"/>
    <col min="11" max="11" width="11.140625" customWidth="1"/>
    <col min="12" max="12" width="12.7109375" customWidth="1"/>
    <col min="13" max="13" width="14.7109375" customWidth="1"/>
    <col min="14" max="14" width="12.7109375" customWidth="1"/>
    <col min="15" max="15" width="14.7109375" customWidth="1"/>
    <col min="16" max="17" width="12.7109375" customWidth="1"/>
  </cols>
  <sheetData>
    <row r="1" spans="1:17" ht="23.25" x14ac:dyDescent="0.35">
      <c r="A1" s="215" t="s">
        <v>405</v>
      </c>
    </row>
    <row r="3" spans="1:17" ht="21" x14ac:dyDescent="0.35">
      <c r="A3" s="214" t="s">
        <v>393</v>
      </c>
    </row>
    <row r="9" spans="1:17" x14ac:dyDescent="0.25">
      <c r="N9" s="262" t="s">
        <v>0</v>
      </c>
      <c r="O9" s="262"/>
      <c r="P9" s="262"/>
      <c r="Q9" s="262"/>
    </row>
    <row r="10" spans="1:17" x14ac:dyDescent="0.25">
      <c r="A10" s="73" t="s">
        <v>1</v>
      </c>
      <c r="B10" s="73"/>
      <c r="C10" s="74" t="str">
        <f>'use case data'!D17</f>
        <v>V1</v>
      </c>
      <c r="D10" s="74" t="str">
        <f>'use case data'!E17</f>
        <v>V1</v>
      </c>
      <c r="E10" s="74" t="str">
        <f>'use case data'!F17</f>
        <v>V2</v>
      </c>
      <c r="F10" s="74" t="str">
        <f>'use case data'!G17</f>
        <v>V2</v>
      </c>
      <c r="G10" s="74" t="str">
        <f>'use case data'!H17</f>
        <v>V2</v>
      </c>
      <c r="H10" s="74" t="str">
        <f>'use case data'!I17</f>
        <v>V3</v>
      </c>
      <c r="I10" s="74" t="str">
        <f>'use case data'!J17</f>
        <v>V3</v>
      </c>
      <c r="J10" s="74" t="str">
        <f>'use case data'!K17</f>
        <v>V3</v>
      </c>
      <c r="K10" s="3"/>
      <c r="L10" s="50" t="str">
        <f>packaging!L29</f>
        <v>4 wheel</v>
      </c>
      <c r="M10" s="50" t="str">
        <f>packaging!M29</f>
        <v>4 wheel</v>
      </c>
      <c r="N10" s="50" t="str">
        <f>packaging!O29</f>
        <v>V2</v>
      </c>
      <c r="O10" s="50" t="str">
        <f>packaging!P29</f>
        <v>V2</v>
      </c>
      <c r="P10" s="50" t="str">
        <f>packaging!Q29</f>
        <v>V3</v>
      </c>
      <c r="Q10" s="50" t="str">
        <f>packaging!R29</f>
        <v>V3</v>
      </c>
    </row>
    <row r="11" spans="1:17" ht="17.25" x14ac:dyDescent="0.25">
      <c r="A11" s="72" t="s">
        <v>2</v>
      </c>
      <c r="B11" s="72" t="s">
        <v>3</v>
      </c>
      <c r="C11" s="56">
        <f>'use case data'!D18</f>
        <v>1</v>
      </c>
      <c r="D11" s="56">
        <f>'use case data'!E18</f>
        <v>1</v>
      </c>
      <c r="E11" s="56">
        <f>'use case data'!F18</f>
        <v>2</v>
      </c>
      <c r="F11" s="56">
        <f>'use case data'!G18</f>
        <v>2</v>
      </c>
      <c r="G11" s="56">
        <f>'use case data'!H18</f>
        <v>2</v>
      </c>
      <c r="H11" s="56">
        <f>'use case data'!I18</f>
        <v>3</v>
      </c>
      <c r="I11" s="56">
        <f>'use case data'!J18</f>
        <v>3</v>
      </c>
      <c r="J11" s="56">
        <f>'use case data'!K18</f>
        <v>3</v>
      </c>
      <c r="K11" s="3"/>
      <c r="L11" s="80">
        <f>'use case data'!M18</f>
        <v>3</v>
      </c>
      <c r="M11" s="80">
        <f>'use case data'!N18</f>
        <v>3</v>
      </c>
      <c r="N11" s="80">
        <f>'use case data'!O18</f>
        <v>2</v>
      </c>
      <c r="O11" s="80">
        <f>'use case data'!P18</f>
        <v>2</v>
      </c>
      <c r="P11" s="80">
        <f>'use case data'!Q18</f>
        <v>3</v>
      </c>
      <c r="Q11" s="80">
        <f>'use case data'!R18</f>
        <v>3</v>
      </c>
    </row>
    <row r="12" spans="1:17" x14ac:dyDescent="0.25">
      <c r="A12" s="75" t="s">
        <v>4</v>
      </c>
      <c r="B12" s="75" t="s">
        <v>5</v>
      </c>
      <c r="C12" s="76">
        <f>'use case data'!D19</f>
        <v>100</v>
      </c>
      <c r="D12" s="76">
        <f>'use case data'!E19</f>
        <v>180</v>
      </c>
      <c r="E12" s="76">
        <f>'use case data'!F19</f>
        <v>100</v>
      </c>
      <c r="F12" s="76">
        <f>'use case data'!G19</f>
        <v>180</v>
      </c>
      <c r="G12" s="76">
        <f>'use case data'!H19</f>
        <v>250</v>
      </c>
      <c r="H12" s="76">
        <f>'use case data'!I19</f>
        <v>100</v>
      </c>
      <c r="I12" s="76">
        <f>'use case data'!J19</f>
        <v>180</v>
      </c>
      <c r="J12" s="76">
        <f>'use case data'!K19</f>
        <v>250</v>
      </c>
      <c r="K12" s="3"/>
      <c r="L12" s="80">
        <f>'use case data'!M19</f>
        <v>180</v>
      </c>
      <c r="M12" s="80">
        <f>'use case data'!N19</f>
        <v>250</v>
      </c>
      <c r="N12" s="80">
        <f>'use case data'!O19</f>
        <v>180</v>
      </c>
      <c r="O12" s="80">
        <f>'use case data'!P19</f>
        <v>250</v>
      </c>
      <c r="P12" s="80">
        <f>'use case data'!Q19</f>
        <v>180</v>
      </c>
      <c r="Q12" s="80">
        <f>'use case data'!R19</f>
        <v>250</v>
      </c>
    </row>
    <row r="13" spans="1:17" x14ac:dyDescent="0.25">
      <c r="A13" s="75" t="s">
        <v>322</v>
      </c>
      <c r="B13" s="75" t="s">
        <v>7</v>
      </c>
      <c r="C13" s="76" t="str">
        <f>'use case data'!D20</f>
        <v>WMTC short range</v>
      </c>
      <c r="D13" s="76" t="str">
        <f>'use case data'!E20</f>
        <v>WMTC mid mile</v>
      </c>
      <c r="E13" s="76" t="str">
        <f>'use case data'!F20</f>
        <v>WMTC short range</v>
      </c>
      <c r="F13" s="76" t="str">
        <f>'use case data'!G20</f>
        <v>WMTC mid mile</v>
      </c>
      <c r="G13" s="76" t="str">
        <f>'use case data'!H20</f>
        <v>WMTC metropole</v>
      </c>
      <c r="H13" s="76" t="str">
        <f>'use case data'!I20</f>
        <v>WMTC short range</v>
      </c>
      <c r="I13" s="76" t="str">
        <f>'use case data'!J20</f>
        <v>WMTC mid mile</v>
      </c>
      <c r="J13" s="76" t="str">
        <f>'use case data'!K20</f>
        <v>WMTC metropole</v>
      </c>
      <c r="K13" s="3"/>
      <c r="L13" s="87" t="str">
        <f>'use case data'!M20</f>
        <v>WLTC mid-mile</v>
      </c>
      <c r="M13" s="87" t="str">
        <f>'use case data'!N20</f>
        <v>WLTC metrolpole</v>
      </c>
      <c r="N13" s="87" t="str">
        <f>'use case data'!O20</f>
        <v>WLTC mid-mile</v>
      </c>
      <c r="O13" s="87" t="str">
        <f>'use case data'!P20</f>
        <v>WLTC metrolpole</v>
      </c>
      <c r="P13" s="87" t="str">
        <f>'use case data'!Q20</f>
        <v>WLTC mid-mile</v>
      </c>
      <c r="Q13" s="87" t="str">
        <f>'use case data'!R20</f>
        <v>WLTC metrolpole</v>
      </c>
    </row>
    <row r="14" spans="1:17" s="88" customFormat="1" ht="12.75" x14ac:dyDescent="0.2">
      <c r="A14" s="90" t="str">
        <f>TCO!A15</f>
        <v>usage</v>
      </c>
      <c r="B14" s="90"/>
      <c r="C14" s="86" t="str">
        <f>'use case data'!D21</f>
        <v>3W low V1</v>
      </c>
      <c r="D14" s="86" t="str">
        <f>'use case data'!E21</f>
        <v>3W medium V1</v>
      </c>
      <c r="E14" s="86" t="str">
        <f>'use case data'!F21</f>
        <v>3W low V1</v>
      </c>
      <c r="F14" s="86" t="str">
        <f>'use case data'!G21</f>
        <v>3W medium V2</v>
      </c>
      <c r="G14" s="86" t="str">
        <f>'use case data'!H21</f>
        <v>3W high V2</v>
      </c>
      <c r="H14" s="86" t="str">
        <f>'use case data'!I21</f>
        <v>3W low V3</v>
      </c>
      <c r="I14" s="86" t="str">
        <f>'use case data'!J21</f>
        <v>3W medium V3</v>
      </c>
      <c r="J14" s="86" t="str">
        <f>'use case data'!K21</f>
        <v>3W high V3</v>
      </c>
      <c r="K14" s="119"/>
      <c r="L14" s="87" t="str">
        <f>'use case data'!M21</f>
        <v>4wheel mid-mile</v>
      </c>
      <c r="M14" s="87" t="str">
        <f>'use case data'!N21</f>
        <v>4wheel metro</v>
      </c>
      <c r="N14" s="87" t="str">
        <f>'use case data'!O21</f>
        <v>3W midmile V2</v>
      </c>
      <c r="O14" s="87" t="str">
        <f>'use case data'!P21</f>
        <v>3W metro V2</v>
      </c>
      <c r="P14" s="87" t="str">
        <f>'use case data'!Q21</f>
        <v>3W midmile V3</v>
      </c>
      <c r="Q14" s="87" t="str">
        <f>'use case data'!R21</f>
        <v>3W metro V3</v>
      </c>
    </row>
    <row r="15" spans="1:17" x14ac:dyDescent="0.25">
      <c r="A15" s="77"/>
      <c r="B15" s="77"/>
      <c r="C15" s="78"/>
      <c r="D15" s="78"/>
      <c r="E15" s="78"/>
      <c r="F15" s="78"/>
      <c r="G15" s="78"/>
      <c r="H15" s="78"/>
      <c r="I15" s="78"/>
      <c r="J15" s="78"/>
      <c r="K15" s="3"/>
      <c r="L15" s="3"/>
      <c r="M15" s="3"/>
      <c r="N15" s="3"/>
      <c r="O15" s="3"/>
      <c r="P15" s="3"/>
      <c r="Q15" s="3"/>
    </row>
    <row r="16" spans="1:17" x14ac:dyDescent="0.25">
      <c r="A16" s="49" t="s">
        <v>8</v>
      </c>
      <c r="B16" s="49"/>
      <c r="C16" s="50"/>
      <c r="D16" s="50"/>
      <c r="E16" s="50"/>
      <c r="F16" s="50"/>
      <c r="G16" s="50"/>
      <c r="H16" s="50"/>
      <c r="I16" s="50"/>
      <c r="J16" s="50"/>
      <c r="K16" s="3"/>
      <c r="L16" s="74"/>
      <c r="M16" s="74"/>
      <c r="N16" s="74"/>
      <c r="O16" s="74"/>
      <c r="P16" s="74"/>
      <c r="Q16" s="74"/>
    </row>
    <row r="17" spans="1:17" x14ac:dyDescent="0.25">
      <c r="A17" s="75" t="s">
        <v>9</v>
      </c>
      <c r="B17" s="75" t="s">
        <v>10</v>
      </c>
      <c r="C17" s="82">
        <f>packaging!C33</f>
        <v>240.12345679012347</v>
      </c>
      <c r="D17" s="82">
        <f>packaging!D33</f>
        <v>257.66666666666669</v>
      </c>
      <c r="E17" s="82">
        <f>packaging!E33</f>
        <v>353.05246913580248</v>
      </c>
      <c r="F17" s="82">
        <f>packaging!F33</f>
        <v>382.09944444444443</v>
      </c>
      <c r="G17" s="82">
        <f>packaging!G33</f>
        <v>435.71481481481482</v>
      </c>
      <c r="H17" s="82">
        <f>packaging!H33</f>
        <v>457.47530864197529</v>
      </c>
      <c r="I17" s="82">
        <f>packaging!I33</f>
        <v>495.67777777777775</v>
      </c>
      <c r="J17" s="82">
        <f>packaging!J33</f>
        <v>562.59259259259261</v>
      </c>
      <c r="K17" s="8"/>
      <c r="L17" s="130">
        <f>packaging!L33</f>
        <v>1600</v>
      </c>
      <c r="M17" s="130">
        <f>packaging!M33</f>
        <v>1600</v>
      </c>
      <c r="N17" s="130">
        <f>packaging!O33</f>
        <v>346.88888888888891</v>
      </c>
      <c r="O17" s="130">
        <f>packaging!P33</f>
        <v>358.58024691358025</v>
      </c>
      <c r="P17" s="130">
        <f>packaging!Q33</f>
        <v>453.66666666666669</v>
      </c>
      <c r="Q17" s="130">
        <f>packaging!R33</f>
        <v>470.15432098765433</v>
      </c>
    </row>
    <row r="18" spans="1:17" x14ac:dyDescent="0.25">
      <c r="A18" s="75" t="s">
        <v>11</v>
      </c>
      <c r="B18" s="75" t="s">
        <v>10</v>
      </c>
      <c r="C18" s="76">
        <f>packaging!C30*cargo_SW</f>
        <v>100</v>
      </c>
      <c r="D18" s="76">
        <f>packaging!D30*cargo_SW</f>
        <v>100</v>
      </c>
      <c r="E18" s="76">
        <f>packaging!E30*cargo_SW</f>
        <v>200</v>
      </c>
      <c r="F18" s="76">
        <f>packaging!F30*cargo_SW</f>
        <v>200</v>
      </c>
      <c r="G18" s="76">
        <f>packaging!G30*cargo_SW</f>
        <v>200</v>
      </c>
      <c r="H18" s="76">
        <f>packaging!H30*cargo_SW</f>
        <v>300</v>
      </c>
      <c r="I18" s="76">
        <f>packaging!I30*cargo_SW</f>
        <v>300</v>
      </c>
      <c r="J18" s="76">
        <f>packaging!J30*cargo_SW</f>
        <v>300</v>
      </c>
      <c r="K18" s="3"/>
      <c r="L18" s="81">
        <f>packaging!L30*cargo_SW</f>
        <v>300</v>
      </c>
      <c r="M18" s="81">
        <f>packaging!M30*cargo_SW</f>
        <v>300</v>
      </c>
      <c r="N18" s="81">
        <f>packaging!O30*cargo_SW</f>
        <v>200</v>
      </c>
      <c r="O18" s="81">
        <f>packaging!P30*cargo_SW</f>
        <v>200</v>
      </c>
      <c r="P18" s="81">
        <f>packaging!Q30*cargo_SW</f>
        <v>300</v>
      </c>
      <c r="Q18" s="81">
        <f>packaging!R30*cargo_SW</f>
        <v>300</v>
      </c>
    </row>
    <row r="19" spans="1:17" x14ac:dyDescent="0.25">
      <c r="A19" s="75" t="s">
        <v>12</v>
      </c>
      <c r="B19" s="75" t="s">
        <v>13</v>
      </c>
      <c r="C19" s="76">
        <f>packaging!C38</f>
        <v>1200</v>
      </c>
      <c r="D19" s="76">
        <f>packaging!D38</f>
        <v>1200</v>
      </c>
      <c r="E19" s="76">
        <f>packaging!E38</f>
        <v>1200</v>
      </c>
      <c r="F19" s="76">
        <f>packaging!F38</f>
        <v>1200</v>
      </c>
      <c r="G19" s="76">
        <f>packaging!G38</f>
        <v>1400</v>
      </c>
      <c r="H19" s="76">
        <f>packaging!H38</f>
        <v>1200</v>
      </c>
      <c r="I19" s="76">
        <f>packaging!I38</f>
        <v>1200</v>
      </c>
      <c r="J19" s="76">
        <f>packaging!J38</f>
        <v>1500</v>
      </c>
      <c r="K19" s="3"/>
      <c r="L19" s="80">
        <f>packaging!L38</f>
        <v>2785</v>
      </c>
      <c r="M19" s="80">
        <f>packaging!M38</f>
        <v>2785</v>
      </c>
      <c r="N19" s="80">
        <f>packaging!O38</f>
        <v>1200</v>
      </c>
      <c r="O19" s="80">
        <f>packaging!P38</f>
        <v>1200</v>
      </c>
      <c r="P19" s="80">
        <f>packaging!Q38</f>
        <v>1200</v>
      </c>
      <c r="Q19" s="80">
        <f>packaging!R38</f>
        <v>1200</v>
      </c>
    </row>
    <row r="20" spans="1:17" x14ac:dyDescent="0.25">
      <c r="A20" s="72" t="s">
        <v>14</v>
      </c>
      <c r="B20" s="72" t="s">
        <v>13</v>
      </c>
      <c r="C20" s="56">
        <f>packaging!C46</f>
        <v>1900</v>
      </c>
      <c r="D20" s="56">
        <f>packaging!D46</f>
        <v>1900</v>
      </c>
      <c r="E20" s="56">
        <f>packaging!E46</f>
        <v>1900</v>
      </c>
      <c r="F20" s="56">
        <f>packaging!F46</f>
        <v>1900</v>
      </c>
      <c r="G20" s="56">
        <f>packaging!G46</f>
        <v>1900</v>
      </c>
      <c r="H20" s="56">
        <f>packaging!H46</f>
        <v>1900</v>
      </c>
      <c r="I20" s="56">
        <f>packaging!I46</f>
        <v>1900</v>
      </c>
      <c r="J20" s="56">
        <f>packaging!J46</f>
        <v>1900</v>
      </c>
      <c r="K20" s="3"/>
      <c r="L20" s="81">
        <f>packaging!L46</f>
        <v>0</v>
      </c>
      <c r="M20" s="81">
        <f>packaging!M46</f>
        <v>0</v>
      </c>
      <c r="N20" s="81">
        <f>packaging!O46</f>
        <v>1900</v>
      </c>
      <c r="O20" s="81">
        <f>packaging!P46</f>
        <v>1900</v>
      </c>
      <c r="P20" s="81">
        <f>packaging!Q46</f>
        <v>1900</v>
      </c>
      <c r="Q20" s="81">
        <f>packaging!R46</f>
        <v>1900</v>
      </c>
    </row>
    <row r="21" spans="1:17" x14ac:dyDescent="0.25">
      <c r="A21" s="75" t="s">
        <v>15</v>
      </c>
      <c r="B21" s="75" t="s">
        <v>13</v>
      </c>
      <c r="C21" s="76">
        <f>packaging!C47</f>
        <v>800</v>
      </c>
      <c r="D21" s="76">
        <f>packaging!D47</f>
        <v>800</v>
      </c>
      <c r="E21" s="76">
        <f>packaging!E47</f>
        <v>1100</v>
      </c>
      <c r="F21" s="76">
        <f>packaging!F47</f>
        <v>1100</v>
      </c>
      <c r="G21" s="76">
        <f>packaging!G47</f>
        <v>1100</v>
      </c>
      <c r="H21" s="76">
        <f>packaging!H47</f>
        <v>1100</v>
      </c>
      <c r="I21" s="76">
        <f>packaging!I47</f>
        <v>1100</v>
      </c>
      <c r="J21" s="76">
        <f>packaging!J47</f>
        <v>1100</v>
      </c>
      <c r="K21" s="3"/>
      <c r="L21" s="80">
        <f>packaging!L47</f>
        <v>1848</v>
      </c>
      <c r="M21" s="80">
        <f>packaging!M47</f>
        <v>1848</v>
      </c>
      <c r="N21" s="80">
        <f>packaging!O47</f>
        <v>1100</v>
      </c>
      <c r="O21" s="80">
        <f>packaging!P47</f>
        <v>1100</v>
      </c>
      <c r="P21" s="80">
        <f>packaging!Q47</f>
        <v>1100</v>
      </c>
      <c r="Q21" s="80">
        <f>packaging!R47</f>
        <v>1100</v>
      </c>
    </row>
    <row r="22" spans="1:17" x14ac:dyDescent="0.25">
      <c r="A22" s="72" t="s">
        <v>16</v>
      </c>
      <c r="B22" s="72" t="s">
        <v>13</v>
      </c>
      <c r="C22" s="56">
        <f>packaging!C48</f>
        <v>1352</v>
      </c>
      <c r="D22" s="56">
        <f>packaging!D48</f>
        <v>1352</v>
      </c>
      <c r="E22" s="56">
        <f>packaging!E48</f>
        <v>1703</v>
      </c>
      <c r="F22" s="56">
        <f>packaging!F48</f>
        <v>1703</v>
      </c>
      <c r="G22" s="56">
        <f>packaging!G48</f>
        <v>1703</v>
      </c>
      <c r="H22" s="56">
        <f>packaging!H48</f>
        <v>1954</v>
      </c>
      <c r="I22" s="56">
        <f>packaging!I48</f>
        <v>1954</v>
      </c>
      <c r="J22" s="56">
        <f>packaging!J48</f>
        <v>1954</v>
      </c>
      <c r="K22" s="3"/>
      <c r="L22" s="80">
        <f>packaging!L48</f>
        <v>1880</v>
      </c>
      <c r="M22" s="80">
        <f>packaging!M48</f>
        <v>1880</v>
      </c>
      <c r="N22" s="80">
        <f>packaging!O48</f>
        <v>1703</v>
      </c>
      <c r="O22" s="80">
        <f>packaging!P48</f>
        <v>1703</v>
      </c>
      <c r="P22" s="80">
        <f>packaging!Q48</f>
        <v>1954</v>
      </c>
      <c r="Q22" s="80">
        <f>packaging!R48</f>
        <v>1954</v>
      </c>
    </row>
    <row r="23" spans="1:17" x14ac:dyDescent="0.25">
      <c r="A23" s="75" t="s">
        <v>17</v>
      </c>
      <c r="B23" s="75" t="s">
        <v>18</v>
      </c>
      <c r="C23" s="79">
        <f>packaging!C35</f>
        <v>3.6222222222222222</v>
      </c>
      <c r="D23" s="79">
        <f>packaging!D35</f>
        <v>6.78</v>
      </c>
      <c r="E23" s="79">
        <f>packaging!E35</f>
        <v>5.9494444444444445</v>
      </c>
      <c r="F23" s="79">
        <f>packaging!F35</f>
        <v>11.177899999999999</v>
      </c>
      <c r="G23" s="79">
        <f>packaging!G35</f>
        <v>20.828666666666663</v>
      </c>
      <c r="H23" s="79">
        <f>packaging!H35</f>
        <v>6.7455555555555557</v>
      </c>
      <c r="I23" s="79">
        <f>packaging!I35</f>
        <v>13.621999999999998</v>
      </c>
      <c r="J23" s="79">
        <f>packaging!J35</f>
        <v>25.666666666666664</v>
      </c>
      <c r="K23" s="10"/>
      <c r="L23" s="85">
        <f>packaging!L35</f>
        <v>19.600000000000001</v>
      </c>
      <c r="M23" s="85">
        <f>packaging!M35</f>
        <v>31.388888888888886</v>
      </c>
      <c r="N23" s="85">
        <f>packaging!O35</f>
        <v>4.84</v>
      </c>
      <c r="O23" s="85">
        <f>packaging!P35</f>
        <v>6.9444444444444446</v>
      </c>
      <c r="P23" s="85">
        <f>packaging!Q35</f>
        <v>6.06</v>
      </c>
      <c r="Q23" s="85">
        <f>packaging!R35</f>
        <v>9.0277777777777768</v>
      </c>
    </row>
    <row r="24" spans="1:17" x14ac:dyDescent="0.25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49" t="s">
        <v>310</v>
      </c>
      <c r="B25" s="49"/>
      <c r="C25" s="50"/>
      <c r="D25" s="50"/>
      <c r="E25" s="50"/>
      <c r="F25" s="50"/>
      <c r="G25" s="50"/>
      <c r="H25" s="50"/>
      <c r="I25" s="50"/>
      <c r="J25" s="50"/>
      <c r="K25" s="10"/>
      <c r="L25" s="74"/>
      <c r="M25" s="74"/>
      <c r="N25" s="74"/>
      <c r="O25" s="74"/>
      <c r="P25" s="74"/>
      <c r="Q25" s="74"/>
    </row>
    <row r="26" spans="1:17" x14ac:dyDescent="0.25">
      <c r="A26" s="75" t="str">
        <f>stability!A13</f>
        <v>Static Roll Threshold</v>
      </c>
      <c r="B26" s="75" t="s">
        <v>311</v>
      </c>
      <c r="C26" s="79">
        <f>stability!C13</f>
        <v>16.878919978287161</v>
      </c>
      <c r="D26" s="79">
        <f>stability!D13</f>
        <v>17.447742474130347</v>
      </c>
      <c r="E26" s="79">
        <f>stability!E13</f>
        <v>12.932825257710739</v>
      </c>
      <c r="F26" s="79">
        <f>stability!F13</f>
        <v>13.510945713743215</v>
      </c>
      <c r="G26" s="79">
        <f>stability!G13</f>
        <v>15.539274772333732</v>
      </c>
      <c r="H26" s="79">
        <f>stability!H13</f>
        <v>11.157928112681503</v>
      </c>
      <c r="I26" s="79">
        <f>stability!I13</f>
        <v>11.728454101356284</v>
      </c>
      <c r="J26" s="79">
        <f>stability!J13</f>
        <v>14.03640391558233</v>
      </c>
      <c r="K26" s="10"/>
      <c r="L26" s="130"/>
      <c r="M26" s="130"/>
      <c r="N26" s="85">
        <f>stability!N13</f>
        <v>12.535777547610829</v>
      </c>
      <c r="O26" s="85">
        <f>stability!O13</f>
        <v>12.771569512167893</v>
      </c>
      <c r="P26" s="85">
        <f>stability!P13</f>
        <v>10.870280510657697</v>
      </c>
      <c r="Q26" s="85">
        <f>stability!Q13</f>
        <v>11.147360933401417</v>
      </c>
    </row>
    <row r="27" spans="1:17" ht="17.25" x14ac:dyDescent="0.25">
      <c r="A27" s="75" t="s">
        <v>312</v>
      </c>
      <c r="B27" s="75" t="s">
        <v>287</v>
      </c>
      <c r="C27" s="82">
        <f>'moment of inertia'!C$40</f>
        <v>174.4727488074027</v>
      </c>
      <c r="D27" s="82">
        <f>'moment of inertia'!D$40</f>
        <v>176.19234390930572</v>
      </c>
      <c r="E27" s="82">
        <f>'moment of inertia'!E$40</f>
        <v>385.75113889382243</v>
      </c>
      <c r="F27" s="82">
        <f>'moment of inertia'!F$40</f>
        <v>390.69639682936258</v>
      </c>
      <c r="G27" s="82">
        <f>'moment of inertia'!G$40</f>
        <v>399.62258815061261</v>
      </c>
      <c r="H27" s="82">
        <f>'moment of inertia'!H$40</f>
        <v>623.06896739999524</v>
      </c>
      <c r="I27" s="82">
        <f>'moment of inertia'!I$40</f>
        <v>629.98583066913102</v>
      </c>
      <c r="J27" s="82">
        <f>'moment of inertia'!J$40</f>
        <v>640.60467646172367</v>
      </c>
      <c r="K27" s="10"/>
      <c r="L27" s="81"/>
      <c r="M27" s="81"/>
      <c r="N27" s="146">
        <f>'moment of inertia'!O$40</f>
        <v>405.08230931357559</v>
      </c>
      <c r="O27" s="146">
        <f>'moment of inertia'!P$40</f>
        <v>416.59997133826687</v>
      </c>
      <c r="P27" s="146">
        <f>'moment of inertia'!Q$40</f>
        <v>650.70340342468671</v>
      </c>
      <c r="Q27" s="146">
        <f>'moment of inertia'!R$40</f>
        <v>652.94394374567423</v>
      </c>
    </row>
    <row r="28" spans="1:17" ht="30" customHeight="1" x14ac:dyDescent="0.25">
      <c r="A28" s="147" t="str">
        <f>stability!A25</f>
        <v>min outer turning radius between walls</v>
      </c>
      <c r="B28" s="147" t="str">
        <f>stability!B25</f>
        <v>m</v>
      </c>
      <c r="C28" s="149">
        <f>stability!C25</f>
        <v>4.0283506113633161</v>
      </c>
      <c r="D28" s="149">
        <f>stability!D25</f>
        <v>4.0283506113633161</v>
      </c>
      <c r="E28" s="149">
        <f>stability!E25</f>
        <v>4.1664373893141446</v>
      </c>
      <c r="F28" s="149">
        <f>stability!F25</f>
        <v>4.1664373893141446</v>
      </c>
      <c r="G28" s="149">
        <f>stability!G25</f>
        <v>4.7506772443483944</v>
      </c>
      <c r="H28" s="149">
        <f>stability!H25</f>
        <v>4.1664373893141446</v>
      </c>
      <c r="I28" s="149">
        <f>stability!I25</f>
        <v>4.1664373893141446</v>
      </c>
      <c r="J28" s="149">
        <f>stability!J25</f>
        <v>5.0428424648733028</v>
      </c>
      <c r="K28" s="10"/>
      <c r="L28" s="80"/>
      <c r="M28" s="80"/>
      <c r="N28" s="148">
        <f>stability!N25</f>
        <v>4.1664373893141446</v>
      </c>
      <c r="O28" s="148">
        <f>stability!O25</f>
        <v>4.1664373893141446</v>
      </c>
      <c r="P28" s="148">
        <f>stability!P25</f>
        <v>4.1664373893141446</v>
      </c>
      <c r="Q28" s="148">
        <f>stability!Q25</f>
        <v>4.1664373893141446</v>
      </c>
    </row>
    <row r="29" spans="1:17" ht="30" customHeight="1" x14ac:dyDescent="0.25">
      <c r="A29" s="147" t="str">
        <f>stability!A26</f>
        <v>min inner turning radius between walls</v>
      </c>
      <c r="B29" s="147" t="str">
        <f>stability!B26</f>
        <v>m</v>
      </c>
      <c r="C29" s="149">
        <f>stability!C26</f>
        <v>2.8969729033455467</v>
      </c>
      <c r="D29" s="149">
        <f>stability!D26</f>
        <v>2.8969729033455467</v>
      </c>
      <c r="E29" s="149">
        <f>stability!E26</f>
        <v>2.7469729033455463</v>
      </c>
      <c r="F29" s="149">
        <f>stability!F26</f>
        <v>2.7469729033455463</v>
      </c>
      <c r="G29" s="149">
        <f>stability!G26</f>
        <v>3.2964683872364713</v>
      </c>
      <c r="H29" s="149">
        <f>stability!H26</f>
        <v>2.7469729033455463</v>
      </c>
      <c r="I29" s="149">
        <f>stability!I26</f>
        <v>2.7469729033455463</v>
      </c>
      <c r="J29" s="149">
        <f>stability!J26</f>
        <v>3.5712161291819342</v>
      </c>
      <c r="K29" s="10"/>
      <c r="L29" s="80"/>
      <c r="M29" s="80"/>
      <c r="N29" s="148">
        <f>stability!N26</f>
        <v>2.7469729033455463</v>
      </c>
      <c r="O29" s="148">
        <f>stability!O26</f>
        <v>2.7469729033455463</v>
      </c>
      <c r="P29" s="148">
        <f>stability!P26</f>
        <v>2.7469729033455463</v>
      </c>
      <c r="Q29" s="148">
        <f>stability!Q26</f>
        <v>2.7469729033455463</v>
      </c>
    </row>
    <row r="30" spans="1:17" ht="43.5" customHeight="1" x14ac:dyDescent="0.25">
      <c r="A30" s="147" t="str">
        <f>stability!A28</f>
        <v>min outer turning radius between sidewalks</v>
      </c>
      <c r="B30" s="147" t="str">
        <f>stability!B28</f>
        <v>m</v>
      </c>
      <c r="C30" s="149">
        <f>stability!C28</f>
        <v>3.8583273932975759</v>
      </c>
      <c r="D30" s="149">
        <f>stability!D28</f>
        <v>3.8583273932975759</v>
      </c>
      <c r="E30" s="149">
        <f>stability!E28</f>
        <v>3.8583273932975759</v>
      </c>
      <c r="F30" s="149">
        <f>stability!F28</f>
        <v>3.8583273932975759</v>
      </c>
      <c r="G30" s="149">
        <f>stability!G28</f>
        <v>4.442815060360326</v>
      </c>
      <c r="H30" s="149">
        <f>stability!H28</f>
        <v>3.8583273932975759</v>
      </c>
      <c r="I30" s="149">
        <f>stability!I28</f>
        <v>3.8583273932975759</v>
      </c>
      <c r="J30" s="149">
        <f>stability!J28</f>
        <v>4.7350841934461902</v>
      </c>
      <c r="K30" s="10"/>
      <c r="L30" s="148"/>
      <c r="M30" s="148"/>
      <c r="N30" s="148">
        <f>stability!N28</f>
        <v>3.8583273932975759</v>
      </c>
      <c r="O30" s="148">
        <f>stability!O28</f>
        <v>3.8583273932975759</v>
      </c>
      <c r="P30" s="148">
        <f>stability!P28</f>
        <v>3.8583273932975759</v>
      </c>
      <c r="Q30" s="148">
        <f>stability!Q28</f>
        <v>3.8583273932975759</v>
      </c>
    </row>
    <row r="32" spans="1:17" x14ac:dyDescent="0.25">
      <c r="A32" s="49" t="s">
        <v>19</v>
      </c>
      <c r="B32" s="49"/>
      <c r="C32" s="50"/>
      <c r="D32" s="50"/>
      <c r="E32" s="50"/>
      <c r="F32" s="50"/>
      <c r="G32" s="50"/>
      <c r="H32" s="50"/>
      <c r="I32" s="50"/>
      <c r="J32" s="50"/>
      <c r="K32" s="3"/>
      <c r="L32" s="74"/>
      <c r="M32" s="74"/>
      <c r="N32" s="74"/>
      <c r="O32" s="74"/>
      <c r="P32" s="74"/>
      <c r="Q32" s="74"/>
    </row>
    <row r="33" spans="1:17" x14ac:dyDescent="0.25">
      <c r="A33" s="66" t="s">
        <v>20</v>
      </c>
      <c r="B33" s="120" t="s">
        <v>21</v>
      </c>
      <c r="C33" s="121">
        <f>TCO!C28</f>
        <v>3.783887230336365E-4</v>
      </c>
      <c r="D33" s="121">
        <f>TCO!D28</f>
        <v>3.1380700872351511E-4</v>
      </c>
      <c r="E33" s="121">
        <f>TCO!E28</f>
        <v>2.5871247032901339E-4</v>
      </c>
      <c r="F33" s="121">
        <f>TCO!F28</f>
        <v>2.2836997116351906E-4</v>
      </c>
      <c r="G33" s="121">
        <f>TCO!G28</f>
        <v>2.7587370770582037E-4</v>
      </c>
      <c r="H33" s="121">
        <f>TCO!H28</f>
        <v>1.9172427509431682E-4</v>
      </c>
      <c r="I33" s="121">
        <f>TCO!I28</f>
        <v>1.7923004638007464E-4</v>
      </c>
      <c r="J33" s="121">
        <f>TCO!J28</f>
        <v>2.2157054582338295E-4</v>
      </c>
      <c r="K33" s="91"/>
      <c r="L33" s="125">
        <f>TCO!K28</f>
        <v>4.5318198243229511E-4</v>
      </c>
      <c r="M33" s="125">
        <f>TCO!L28</f>
        <v>6.5735798310931858E-4</v>
      </c>
      <c r="N33" s="125">
        <f>TCO!M28</f>
        <v>1.3125066201857119E-4</v>
      </c>
      <c r="O33" s="125">
        <f>TCO!N28</f>
        <v>1.1894429889601646E-4</v>
      </c>
      <c r="P33" s="125">
        <f>TCO!O28</f>
        <v>1.0116007850528429E-4</v>
      </c>
      <c r="Q33" s="125">
        <f>TCO!P28</f>
        <v>9.5704391710660033E-5</v>
      </c>
    </row>
    <row r="34" spans="1:17" x14ac:dyDescent="0.25">
      <c r="A34" s="75" t="s">
        <v>22</v>
      </c>
      <c r="B34" s="83" t="s">
        <v>23</v>
      </c>
      <c r="C34" s="82">
        <f>TCO!C26</f>
        <v>518.84400000000005</v>
      </c>
      <c r="D34" s="82">
        <f>TCO!D26</f>
        <v>774.52200000000016</v>
      </c>
      <c r="E34" s="82">
        <f>TCO!E26</f>
        <v>709.48950000000002</v>
      </c>
      <c r="F34" s="82">
        <f>TCO!F26</f>
        <v>1127.3015700000001</v>
      </c>
      <c r="G34" s="82">
        <f>TCO!G26</f>
        <v>1891.3806000000002</v>
      </c>
      <c r="H34" s="82">
        <f>TCO!H26</f>
        <v>788.673</v>
      </c>
      <c r="I34" s="82">
        <f>TCO!I26</f>
        <v>1327.0985999999998</v>
      </c>
      <c r="J34" s="82">
        <f>TCO!J26</f>
        <v>2278.6200000000003</v>
      </c>
      <c r="K34" s="8"/>
      <c r="L34" s="80">
        <f>TCO!K26</f>
        <v>3355.5600000000004</v>
      </c>
      <c r="M34" s="80">
        <f>TCO!L26</f>
        <v>4278.63</v>
      </c>
      <c r="N34" s="80">
        <f>TCO!M26</f>
        <v>647.89199999999994</v>
      </c>
      <c r="O34" s="80">
        <f>TCO!N26</f>
        <v>815.47800000000007</v>
      </c>
      <c r="P34" s="80">
        <f>TCO!O26</f>
        <v>749.03400000000011</v>
      </c>
      <c r="Q34" s="80">
        <f>TCO!P26</f>
        <v>984.21900000000016</v>
      </c>
    </row>
    <row r="35" spans="1:17" x14ac:dyDescent="0.25">
      <c r="A35" s="122" t="s">
        <v>24</v>
      </c>
      <c r="B35" s="122" t="s">
        <v>25</v>
      </c>
      <c r="C35" s="124">
        <f>packaging!C34</f>
        <v>32.6</v>
      </c>
      <c r="D35" s="124">
        <f>packaging!D34</f>
        <v>33.9</v>
      </c>
      <c r="E35" s="124">
        <f>packaging!E34</f>
        <v>53.545000000000002</v>
      </c>
      <c r="F35" s="124">
        <f>packaging!F34</f>
        <v>55.889499999999998</v>
      </c>
      <c r="G35" s="124">
        <f>packaging!G34</f>
        <v>74.983199999999997</v>
      </c>
      <c r="H35" s="123">
        <f>packaging!H34</f>
        <v>60.71</v>
      </c>
      <c r="I35" s="123">
        <f>packaging!I34</f>
        <v>68.11</v>
      </c>
      <c r="J35" s="123">
        <f>packaging!J34</f>
        <v>92.4</v>
      </c>
      <c r="K35" s="3"/>
      <c r="L35" s="22">
        <f>packaging!L34</f>
        <v>98</v>
      </c>
      <c r="M35" s="22">
        <f>packaging!M34</f>
        <v>113</v>
      </c>
      <c r="N35" s="22">
        <f>packaging!O34</f>
        <v>24.2</v>
      </c>
      <c r="O35" s="22">
        <f>packaging!P34</f>
        <v>25</v>
      </c>
      <c r="P35" s="22">
        <f>packaging!Q34</f>
        <v>30.3</v>
      </c>
      <c r="Q35" s="22">
        <f>packaging!R34</f>
        <v>32.5</v>
      </c>
    </row>
    <row r="36" spans="1:17" x14ac:dyDescent="0.25">
      <c r="A36" s="75" t="s">
        <v>12</v>
      </c>
      <c r="B36" s="75" t="s">
        <v>13</v>
      </c>
      <c r="C36" s="76">
        <f>packaging!C38</f>
        <v>1200</v>
      </c>
      <c r="D36" s="76">
        <f>packaging!D38</f>
        <v>1200</v>
      </c>
      <c r="E36" s="76">
        <f>packaging!E38</f>
        <v>1200</v>
      </c>
      <c r="F36" s="76">
        <f>packaging!F38</f>
        <v>1200</v>
      </c>
      <c r="G36" s="76">
        <f>packaging!G38</f>
        <v>1400</v>
      </c>
      <c r="H36" s="76">
        <f>packaging!H38</f>
        <v>1200</v>
      </c>
      <c r="I36" s="76">
        <f>packaging!I38</f>
        <v>1200</v>
      </c>
      <c r="J36" s="76">
        <f>packaging!J38</f>
        <v>1500</v>
      </c>
      <c r="K36" s="3"/>
      <c r="L36" s="80">
        <f>packaging!L38</f>
        <v>2785</v>
      </c>
      <c r="M36" s="80">
        <f>packaging!M38</f>
        <v>2785</v>
      </c>
      <c r="N36" s="80">
        <f>packaging!O38</f>
        <v>1200</v>
      </c>
      <c r="O36" s="80">
        <f>packaging!P38</f>
        <v>1200</v>
      </c>
      <c r="P36" s="80">
        <f>packaging!Q38</f>
        <v>1200</v>
      </c>
      <c r="Q36" s="80">
        <f>packaging!R38</f>
        <v>1200</v>
      </c>
    </row>
    <row r="37" spans="1:17" x14ac:dyDescent="0.25">
      <c r="A37" s="73" t="str">
        <f>A10</f>
        <v>vehicle definition</v>
      </c>
      <c r="B37" s="73"/>
      <c r="C37" s="74" t="str">
        <f t="shared" ref="C37:J37" si="0">C10</f>
        <v>V1</v>
      </c>
      <c r="D37" s="74" t="str">
        <f t="shared" si="0"/>
        <v>V1</v>
      </c>
      <c r="E37" s="74" t="str">
        <f t="shared" si="0"/>
        <v>V2</v>
      </c>
      <c r="F37" s="74" t="str">
        <f t="shared" si="0"/>
        <v>V2</v>
      </c>
      <c r="G37" s="74" t="str">
        <f t="shared" si="0"/>
        <v>V2</v>
      </c>
      <c r="H37" s="74" t="str">
        <f t="shared" si="0"/>
        <v>V3</v>
      </c>
      <c r="I37" s="74" t="str">
        <f t="shared" si="0"/>
        <v>V3</v>
      </c>
      <c r="J37" s="74" t="str">
        <f t="shared" si="0"/>
        <v>V3</v>
      </c>
      <c r="K37" s="3"/>
      <c r="L37" s="50" t="str">
        <f t="shared" ref="L37:Q37" si="1">L10</f>
        <v>4 wheel</v>
      </c>
      <c r="M37" s="50" t="str">
        <f t="shared" si="1"/>
        <v>4 wheel</v>
      </c>
      <c r="N37" s="50" t="str">
        <f t="shared" si="1"/>
        <v>V2</v>
      </c>
      <c r="O37" s="50" t="str">
        <f t="shared" si="1"/>
        <v>V2</v>
      </c>
      <c r="P37" s="50" t="str">
        <f t="shared" si="1"/>
        <v>V3</v>
      </c>
      <c r="Q37" s="50" t="str">
        <f t="shared" si="1"/>
        <v>V3</v>
      </c>
    </row>
    <row r="38" spans="1:17" x14ac:dyDescent="0.25">
      <c r="A38" s="1" t="s">
        <v>26</v>
      </c>
    </row>
    <row r="40" spans="1:17" ht="15.75" thickBot="1" x14ac:dyDescent="0.3">
      <c r="A40" s="1"/>
      <c r="K40" s="263" t="s">
        <v>27</v>
      </c>
      <c r="L40" s="263"/>
      <c r="M40" s="263"/>
      <c r="N40" s="263"/>
      <c r="O40" s="263"/>
      <c r="P40" s="263"/>
    </row>
    <row r="41" spans="1:17" ht="18" thickBot="1" x14ac:dyDescent="0.3">
      <c r="A41" s="1"/>
      <c r="K41" s="101" t="s">
        <v>28</v>
      </c>
      <c r="L41" s="97" t="str">
        <f>C10</f>
        <v>V1</v>
      </c>
      <c r="M41" s="97" t="str">
        <f>E10</f>
        <v>V2</v>
      </c>
      <c r="N41" s="98" t="str">
        <f>H10</f>
        <v>V3</v>
      </c>
      <c r="O41" s="98" t="str">
        <f>N10</f>
        <v>V2</v>
      </c>
      <c r="P41" s="98" t="str">
        <f>P10</f>
        <v>V3</v>
      </c>
      <c r="Q41" s="99" t="s">
        <v>29</v>
      </c>
    </row>
    <row r="42" spans="1:17" ht="15.75" thickBot="1" x14ac:dyDescent="0.3">
      <c r="K42" s="101" t="s">
        <v>31</v>
      </c>
      <c r="L42" s="266" t="s">
        <v>32</v>
      </c>
      <c r="M42" s="267"/>
      <c r="N42" s="268"/>
      <c r="O42" s="269" t="s">
        <v>0</v>
      </c>
      <c r="P42" s="270"/>
      <c r="Q42" s="271"/>
    </row>
    <row r="43" spans="1:17" ht="31.5" customHeight="1" thickBot="1" x14ac:dyDescent="0.3">
      <c r="J43" s="258" t="s">
        <v>33</v>
      </c>
      <c r="K43" s="180" t="s">
        <v>329</v>
      </c>
      <c r="L43" s="181">
        <v>32.6</v>
      </c>
      <c r="M43" s="97">
        <v>53.6</v>
      </c>
      <c r="N43" s="100">
        <v>60.7</v>
      </c>
      <c r="O43" s="181" t="s">
        <v>330</v>
      </c>
      <c r="P43" s="181" t="s">
        <v>330</v>
      </c>
      <c r="Q43" s="181" t="s">
        <v>330</v>
      </c>
    </row>
    <row r="44" spans="1:17" ht="17.100000000000001" customHeight="1" thickBot="1" x14ac:dyDescent="0.3">
      <c r="J44" s="258"/>
      <c r="K44" s="264" t="s">
        <v>34</v>
      </c>
      <c r="L44" s="97">
        <v>33.9</v>
      </c>
      <c r="M44" s="97">
        <v>55.9</v>
      </c>
      <c r="N44" s="97">
        <v>68.099999999999994</v>
      </c>
      <c r="O44" s="98">
        <v>24.2</v>
      </c>
      <c r="P44" s="98">
        <v>30.3</v>
      </c>
      <c r="Q44" s="107">
        <v>98</v>
      </c>
    </row>
    <row r="45" spans="1:17" ht="17.100000000000001" customHeight="1" thickBot="1" x14ac:dyDescent="0.3">
      <c r="J45" s="258"/>
      <c r="K45" s="265"/>
      <c r="L45" s="102">
        <f t="shared" ref="L45:Q45" si="2">L44/$Q44</f>
        <v>0.34591836734693876</v>
      </c>
      <c r="M45" s="102">
        <f>M44/$Q44</f>
        <v>0.57040816326530608</v>
      </c>
      <c r="N45" s="102">
        <f t="shared" si="2"/>
        <v>0.69489795918367336</v>
      </c>
      <c r="O45" s="106">
        <f t="shared" si="2"/>
        <v>0.24693877551020407</v>
      </c>
      <c r="P45" s="106">
        <f t="shared" si="2"/>
        <v>0.30918367346938774</v>
      </c>
      <c r="Q45" s="108">
        <f t="shared" si="2"/>
        <v>1</v>
      </c>
    </row>
    <row r="46" spans="1:17" ht="17.100000000000001" customHeight="1" thickBot="1" x14ac:dyDescent="0.3">
      <c r="J46" s="258"/>
      <c r="K46" s="264" t="s">
        <v>35</v>
      </c>
      <c r="L46" s="97"/>
      <c r="M46" s="97">
        <v>75</v>
      </c>
      <c r="N46" s="97">
        <v>92.4</v>
      </c>
      <c r="O46" s="110">
        <v>25</v>
      </c>
      <c r="P46" s="110">
        <v>32.5</v>
      </c>
      <c r="Q46" s="107">
        <v>113</v>
      </c>
    </row>
    <row r="47" spans="1:17" ht="17.100000000000001" customHeight="1" thickBot="1" x14ac:dyDescent="0.3">
      <c r="J47" s="258"/>
      <c r="K47" s="265"/>
      <c r="L47" s="102"/>
      <c r="M47" s="102">
        <f>M46/$Q46</f>
        <v>0.66371681415929207</v>
      </c>
      <c r="N47" s="102">
        <f>N46/$Q46</f>
        <v>0.81769911504424786</v>
      </c>
      <c r="O47" s="106">
        <f>O46/$Q46</f>
        <v>0.22123893805309736</v>
      </c>
      <c r="P47" s="106">
        <f>P46/$Q46</f>
        <v>0.28761061946902655</v>
      </c>
      <c r="Q47" s="108">
        <f>Q46/$Q46</f>
        <v>1</v>
      </c>
    </row>
    <row r="48" spans="1:17" ht="17.100000000000001" customHeight="1" x14ac:dyDescent="0.25">
      <c r="J48" s="193"/>
      <c r="K48" s="193"/>
      <c r="L48" s="192"/>
      <c r="M48" s="192"/>
      <c r="N48" s="192"/>
      <c r="O48" s="192"/>
      <c r="P48" s="192"/>
      <c r="Q48" s="192"/>
    </row>
    <row r="49" spans="10:17" ht="17.100000000000001" customHeight="1" x14ac:dyDescent="0.25">
      <c r="J49" s="193"/>
      <c r="K49" t="s">
        <v>361</v>
      </c>
      <c r="L49" s="3" t="s">
        <v>32</v>
      </c>
      <c r="M49" s="3" t="s">
        <v>0</v>
      </c>
      <c r="N49" s="192"/>
      <c r="O49" t="s">
        <v>360</v>
      </c>
      <c r="P49" s="3" t="s">
        <v>39</v>
      </c>
      <c r="Q49" s="3"/>
    </row>
    <row r="50" spans="10:17" ht="17.25" customHeight="1" x14ac:dyDescent="0.25">
      <c r="J50" s="193"/>
      <c r="K50" t="s">
        <v>329</v>
      </c>
      <c r="L50" s="9">
        <f>1-(M43/N43)</f>
        <v>0.11696869851729819</v>
      </c>
      <c r="M50" s="9"/>
      <c r="N50" s="192"/>
      <c r="O50" t="s">
        <v>40</v>
      </c>
      <c r="P50" s="93">
        <f>1-(O44/M44)</f>
        <v>0.56708407871198574</v>
      </c>
      <c r="Q50" s="93">
        <f>1-(P44/N44)</f>
        <v>0.55506607929515406</v>
      </c>
    </row>
    <row r="51" spans="10:17" x14ac:dyDescent="0.25">
      <c r="J51" s="111"/>
      <c r="K51" t="s">
        <v>40</v>
      </c>
      <c r="L51" s="28">
        <f>1-(M44/N44)</f>
        <v>0.17914831130690156</v>
      </c>
      <c r="M51" s="28">
        <f>1-(O44/P44)</f>
        <v>0.20132013201320131</v>
      </c>
      <c r="O51" t="s">
        <v>41</v>
      </c>
      <c r="P51" s="93">
        <f>1-(O46/M46)</f>
        <v>0.66666666666666674</v>
      </c>
      <c r="Q51" s="93">
        <f>1-(P46/N46)</f>
        <v>0.64826839826839833</v>
      </c>
    </row>
    <row r="52" spans="10:17" x14ac:dyDescent="0.25">
      <c r="J52" s="111"/>
      <c r="K52" t="s">
        <v>41</v>
      </c>
      <c r="L52" s="28">
        <f>1-(M46/N46)</f>
        <v>0.18831168831168832</v>
      </c>
      <c r="M52" s="28">
        <f>1-(O46/P46)</f>
        <v>0.23076923076923073</v>
      </c>
    </row>
    <row r="53" spans="10:17" x14ac:dyDescent="0.25">
      <c r="J53" s="111"/>
    </row>
    <row r="54" spans="10:17" ht="30" customHeight="1" thickBot="1" x14ac:dyDescent="0.3">
      <c r="K54" s="263" t="s">
        <v>36</v>
      </c>
      <c r="L54" s="263"/>
      <c r="M54" s="263"/>
      <c r="N54" s="263"/>
      <c r="O54" s="263"/>
      <c r="P54" s="263"/>
    </row>
    <row r="55" spans="10:17" ht="15" customHeight="1" thickBot="1" x14ac:dyDescent="0.3">
      <c r="K55" s="92"/>
      <c r="L55" s="97" t="str">
        <f t="shared" ref="L55:Q55" si="3">L41</f>
        <v>V1</v>
      </c>
      <c r="M55" s="97" t="str">
        <f t="shared" si="3"/>
        <v>V2</v>
      </c>
      <c r="N55" s="97" t="str">
        <f t="shared" si="3"/>
        <v>V3</v>
      </c>
      <c r="O55" s="97" t="str">
        <f t="shared" si="3"/>
        <v>V2</v>
      </c>
      <c r="P55" s="97" t="str">
        <f t="shared" si="3"/>
        <v>V3</v>
      </c>
      <c r="Q55" s="97" t="str">
        <f t="shared" si="3"/>
        <v>4wheel-3 m3</v>
      </c>
    </row>
    <row r="56" spans="10:17" ht="15.75" thickBot="1" x14ac:dyDescent="0.3">
      <c r="K56" s="101" t="s">
        <v>31</v>
      </c>
      <c r="L56" s="259" t="s">
        <v>32</v>
      </c>
      <c r="M56" s="260"/>
      <c r="N56" s="261"/>
      <c r="O56" s="259" t="s">
        <v>0</v>
      </c>
      <c r="P56" s="260"/>
      <c r="Q56" s="261"/>
    </row>
    <row r="57" spans="10:17" ht="21.75" customHeight="1" thickBot="1" x14ac:dyDescent="0.3">
      <c r="J57" s="258" t="s">
        <v>38</v>
      </c>
      <c r="K57" s="180" t="s">
        <v>329</v>
      </c>
      <c r="L57" s="104">
        <f>C33</f>
        <v>3.783887230336365E-4</v>
      </c>
      <c r="M57" s="104">
        <f>E33</f>
        <v>2.5871247032901339E-4</v>
      </c>
      <c r="N57" s="104">
        <f>H33</f>
        <v>1.9172427509431682E-4</v>
      </c>
      <c r="O57" s="104"/>
      <c r="P57" s="104"/>
      <c r="Q57" s="104"/>
    </row>
    <row r="58" spans="10:17" ht="15.75" thickBot="1" x14ac:dyDescent="0.3">
      <c r="J58" s="258"/>
      <c r="K58" s="264" t="s">
        <v>34</v>
      </c>
      <c r="L58" s="104">
        <f>D33</f>
        <v>3.1380700872351511E-4</v>
      </c>
      <c r="M58" s="104">
        <f>F33</f>
        <v>2.2836997116351906E-4</v>
      </c>
      <c r="N58" s="104">
        <f>I33</f>
        <v>1.7923004638007464E-4</v>
      </c>
      <c r="O58" s="105">
        <f>N33</f>
        <v>1.3125066201857119E-4</v>
      </c>
      <c r="P58" s="105">
        <f>P33</f>
        <v>1.0116007850528429E-4</v>
      </c>
      <c r="Q58" s="109">
        <f>L33</f>
        <v>4.5318198243229511E-4</v>
      </c>
    </row>
    <row r="59" spans="10:17" ht="15.75" thickBot="1" x14ac:dyDescent="0.3">
      <c r="J59" s="258"/>
      <c r="K59" s="265"/>
      <c r="L59" s="103">
        <f>L58/$Q58</f>
        <v>0.69245252655294509</v>
      </c>
      <c r="M59" s="103">
        <f>M58/$Q58</f>
        <v>0.50392553105889926</v>
      </c>
      <c r="N59" s="103">
        <f t="shared" ref="N59:Q59" si="4">N58/$Q58</f>
        <v>0.3954924364338589</v>
      </c>
      <c r="O59" s="106">
        <f t="shared" si="4"/>
        <v>0.28962021242355968</v>
      </c>
      <c r="P59" s="106">
        <f t="shared" si="4"/>
        <v>0.22322175732217575</v>
      </c>
      <c r="Q59" s="108">
        <f t="shared" si="4"/>
        <v>1</v>
      </c>
    </row>
    <row r="60" spans="10:17" ht="15.75" thickBot="1" x14ac:dyDescent="0.3">
      <c r="J60" s="258"/>
      <c r="K60" s="264" t="s">
        <v>35</v>
      </c>
      <c r="L60" s="104"/>
      <c r="M60" s="104">
        <f>G33</f>
        <v>2.7587370770582037E-4</v>
      </c>
      <c r="N60" s="104">
        <f>J33</f>
        <v>2.2157054582338295E-4</v>
      </c>
      <c r="O60" s="182">
        <f>O33</f>
        <v>1.1894429889601646E-4</v>
      </c>
      <c r="P60" s="182">
        <f>Q33</f>
        <v>9.5704391710660033E-5</v>
      </c>
      <c r="Q60" s="109">
        <f>M33</f>
        <v>6.5735798310931858E-4</v>
      </c>
    </row>
    <row r="61" spans="10:17" ht="15.75" thickBot="1" x14ac:dyDescent="0.3">
      <c r="J61" s="258"/>
      <c r="K61" s="265"/>
      <c r="L61" s="103"/>
      <c r="M61" s="103">
        <f>M60/$Q60</f>
        <v>0.41967043041134344</v>
      </c>
      <c r="N61" s="103">
        <f>N60/$Q60</f>
        <v>0.33706222715262252</v>
      </c>
      <c r="O61" s="106">
        <f>O60/$Q60</f>
        <v>0.18094295947150008</v>
      </c>
      <c r="P61" s="106">
        <f>P60/$Q60</f>
        <v>0.14558945684051181</v>
      </c>
      <c r="Q61" s="108">
        <f>Q60/$Q60</f>
        <v>1</v>
      </c>
    </row>
    <row r="62" spans="10:17" x14ac:dyDescent="0.25">
      <c r="J62" s="111"/>
      <c r="K62" s="111"/>
    </row>
    <row r="63" spans="10:17" x14ac:dyDescent="0.25">
      <c r="J63" s="111"/>
      <c r="P63" t="s">
        <v>41</v>
      </c>
      <c r="Q63" s="3" t="s">
        <v>39</v>
      </c>
    </row>
    <row r="64" spans="10:17" x14ac:dyDescent="0.25">
      <c r="J64" s="111"/>
      <c r="K64" s="111"/>
      <c r="P64" t="str">
        <f>L55</f>
        <v>V1</v>
      </c>
      <c r="Q64" s="118">
        <f>O61/M61</f>
        <v>0.43115489288618059</v>
      </c>
    </row>
    <row r="65" spans="10:17" x14ac:dyDescent="0.25">
      <c r="J65" s="111"/>
      <c r="K65" s="111"/>
      <c r="L65" t="s">
        <v>362</v>
      </c>
      <c r="P65" t="str">
        <f>M55</f>
        <v>V2</v>
      </c>
      <c r="Q65" s="118">
        <f>P61/N61</f>
        <v>0.43193643521078551</v>
      </c>
    </row>
    <row r="66" spans="10:17" x14ac:dyDescent="0.25">
      <c r="J66" t="s">
        <v>32</v>
      </c>
      <c r="K66" s="111" t="s">
        <v>193</v>
      </c>
      <c r="L66" s="23">
        <f>M58/M60</f>
        <v>0.82780621996440051</v>
      </c>
    </row>
    <row r="67" spans="10:17" x14ac:dyDescent="0.25">
      <c r="J67" t="s">
        <v>32</v>
      </c>
      <c r="K67" t="s">
        <v>194</v>
      </c>
      <c r="L67" s="23">
        <f>N58/N60</f>
        <v>0.80890736498406912</v>
      </c>
    </row>
    <row r="68" spans="10:17" x14ac:dyDescent="0.25">
      <c r="J68" t="s">
        <v>0</v>
      </c>
      <c r="K68" s="111" t="s">
        <v>193</v>
      </c>
      <c r="L68" s="23">
        <f>O58/O60</f>
        <v>1.1034632448698798</v>
      </c>
    </row>
    <row r="69" spans="10:17" x14ac:dyDescent="0.25">
      <c r="J69" t="s">
        <v>0</v>
      </c>
      <c r="K69" t="s">
        <v>194</v>
      </c>
      <c r="L69" s="23">
        <f>P58/P60</f>
        <v>1.0570056054597605</v>
      </c>
    </row>
    <row r="70" spans="10:17" x14ac:dyDescent="0.25">
      <c r="J70" t="s">
        <v>0</v>
      </c>
      <c r="K70" s="111" t="s">
        <v>363</v>
      </c>
      <c r="L70" s="23">
        <f>Q58/Q60</f>
        <v>0.68939907033414849</v>
      </c>
      <c r="N70" s="3"/>
      <c r="O70" s="3"/>
    </row>
    <row r="95" spans="1:17" x14ac:dyDescent="0.25">
      <c r="A95" s="73" t="str">
        <f>A10</f>
        <v>vehicle definition</v>
      </c>
      <c r="B95" s="73"/>
      <c r="C95" s="74" t="str">
        <f t="shared" ref="C95:J95" si="5">C10</f>
        <v>V1</v>
      </c>
      <c r="D95" s="74" t="str">
        <f t="shared" si="5"/>
        <v>V1</v>
      </c>
      <c r="E95" s="74" t="str">
        <f t="shared" si="5"/>
        <v>V2</v>
      </c>
      <c r="F95" s="74" t="str">
        <f t="shared" si="5"/>
        <v>V2</v>
      </c>
      <c r="G95" s="74" t="str">
        <f t="shared" si="5"/>
        <v>V2</v>
      </c>
      <c r="H95" s="74" t="str">
        <f t="shared" si="5"/>
        <v>V3</v>
      </c>
      <c r="I95" s="74" t="str">
        <f t="shared" si="5"/>
        <v>V3</v>
      </c>
      <c r="J95" s="74" t="str">
        <f t="shared" si="5"/>
        <v>V3</v>
      </c>
      <c r="K95" s="74"/>
      <c r="L95" s="74" t="str">
        <f t="shared" ref="L95:Q95" si="6">L10</f>
        <v>4 wheel</v>
      </c>
      <c r="M95" s="74" t="str">
        <f t="shared" si="6"/>
        <v>4 wheel</v>
      </c>
      <c r="N95" s="74" t="str">
        <f t="shared" si="6"/>
        <v>V2</v>
      </c>
      <c r="O95" s="74" t="str">
        <f t="shared" si="6"/>
        <v>V2</v>
      </c>
      <c r="P95" s="74" t="str">
        <f t="shared" si="6"/>
        <v>V3</v>
      </c>
      <c r="Q95" s="74" t="str">
        <f t="shared" si="6"/>
        <v>V3</v>
      </c>
    </row>
    <row r="96" spans="1:17" ht="30" x14ac:dyDescent="0.25">
      <c r="A96" s="147" t="str">
        <f t="shared" ref="A96:J96" si="7">A13</f>
        <v>usage profile</v>
      </c>
      <c r="B96" s="147" t="str">
        <f t="shared" si="7"/>
        <v>-</v>
      </c>
      <c r="C96" s="197" t="str">
        <f t="shared" si="7"/>
        <v>WMTC short range</v>
      </c>
      <c r="D96" s="197" t="str">
        <f t="shared" si="7"/>
        <v>WMTC mid mile</v>
      </c>
      <c r="E96" s="197" t="str">
        <f t="shared" si="7"/>
        <v>WMTC short range</v>
      </c>
      <c r="F96" s="197" t="str">
        <f t="shared" si="7"/>
        <v>WMTC mid mile</v>
      </c>
      <c r="G96" s="197" t="str">
        <f t="shared" si="7"/>
        <v>WMTC metropole</v>
      </c>
      <c r="H96" s="197" t="str">
        <f t="shared" si="7"/>
        <v>WMTC short range</v>
      </c>
      <c r="I96" s="197" t="str">
        <f t="shared" si="7"/>
        <v>WMTC mid mile</v>
      </c>
      <c r="J96" s="197" t="str">
        <f t="shared" si="7"/>
        <v>WMTC metropole</v>
      </c>
      <c r="K96" s="197"/>
      <c r="L96" s="197" t="str">
        <f t="shared" ref="L96:Q96" si="8">L13</f>
        <v>WLTC mid-mile</v>
      </c>
      <c r="M96" s="197" t="str">
        <f t="shared" si="8"/>
        <v>WLTC metrolpole</v>
      </c>
      <c r="N96" s="197" t="str">
        <f t="shared" si="8"/>
        <v>WLTC mid-mile</v>
      </c>
      <c r="O96" s="197" t="str">
        <f t="shared" si="8"/>
        <v>WLTC metrolpole</v>
      </c>
      <c r="P96" s="197" t="str">
        <f t="shared" si="8"/>
        <v>WLTC mid-mile</v>
      </c>
      <c r="Q96" s="197" t="str">
        <f t="shared" si="8"/>
        <v>WLTC metrolpole</v>
      </c>
    </row>
    <row r="97" spans="1:17" x14ac:dyDescent="0.25">
      <c r="A97" s="75" t="str">
        <f t="shared" ref="A97:J97" si="9">A17</f>
        <v>GVW</v>
      </c>
      <c r="B97" s="75" t="str">
        <f t="shared" si="9"/>
        <v>kg</v>
      </c>
      <c r="C97" s="82">
        <f t="shared" si="9"/>
        <v>240.12345679012347</v>
      </c>
      <c r="D97" s="82">
        <f t="shared" si="9"/>
        <v>257.66666666666669</v>
      </c>
      <c r="E97" s="82">
        <f t="shared" si="9"/>
        <v>353.05246913580248</v>
      </c>
      <c r="F97" s="82">
        <f t="shared" si="9"/>
        <v>382.09944444444443</v>
      </c>
      <c r="G97" s="82">
        <f t="shared" si="9"/>
        <v>435.71481481481482</v>
      </c>
      <c r="H97" s="82">
        <f t="shared" si="9"/>
        <v>457.47530864197529</v>
      </c>
      <c r="I97" s="82">
        <f t="shared" si="9"/>
        <v>495.67777777777775</v>
      </c>
      <c r="J97" s="82">
        <f t="shared" si="9"/>
        <v>562.59259259259261</v>
      </c>
      <c r="K97" s="82"/>
      <c r="L97" s="82">
        <f t="shared" ref="L97:Q97" si="10">L17</f>
        <v>1600</v>
      </c>
      <c r="M97" s="82">
        <f t="shared" si="10"/>
        <v>1600</v>
      </c>
      <c r="N97" s="82">
        <f t="shared" si="10"/>
        <v>346.88888888888891</v>
      </c>
      <c r="O97" s="82">
        <f t="shared" si="10"/>
        <v>358.58024691358025</v>
      </c>
      <c r="P97" s="82">
        <f t="shared" si="10"/>
        <v>453.66666666666669</v>
      </c>
      <c r="Q97" s="82">
        <f t="shared" si="10"/>
        <v>470.15432098765433</v>
      </c>
    </row>
    <row r="98" spans="1:17" x14ac:dyDescent="0.25">
      <c r="A98" s="75" t="str">
        <f>A27</f>
        <v>eigen value</v>
      </c>
      <c r="B98" s="75" t="str">
        <f t="shared" ref="B98:J98" si="11">B27</f>
        <v>kgm2</v>
      </c>
      <c r="C98" s="82">
        <f t="shared" si="11"/>
        <v>174.4727488074027</v>
      </c>
      <c r="D98" s="82">
        <f t="shared" si="11"/>
        <v>176.19234390930572</v>
      </c>
      <c r="E98" s="82">
        <f t="shared" si="11"/>
        <v>385.75113889382243</v>
      </c>
      <c r="F98" s="82">
        <f t="shared" si="11"/>
        <v>390.69639682936258</v>
      </c>
      <c r="G98" s="82">
        <f t="shared" si="11"/>
        <v>399.62258815061261</v>
      </c>
      <c r="H98" s="82">
        <f t="shared" si="11"/>
        <v>623.06896739999524</v>
      </c>
      <c r="I98" s="82">
        <f t="shared" si="11"/>
        <v>629.98583066913102</v>
      </c>
      <c r="J98" s="82">
        <f t="shared" si="11"/>
        <v>640.60467646172367</v>
      </c>
      <c r="K98" s="82"/>
      <c r="L98" s="82">
        <f t="shared" ref="L98:Q98" si="12">L27</f>
        <v>0</v>
      </c>
      <c r="M98" s="82">
        <f t="shared" si="12"/>
        <v>0</v>
      </c>
      <c r="N98" s="82">
        <f t="shared" si="12"/>
        <v>405.08230931357559</v>
      </c>
      <c r="O98" s="82">
        <f t="shared" si="12"/>
        <v>416.59997133826687</v>
      </c>
      <c r="P98" s="82">
        <f t="shared" si="12"/>
        <v>650.70340342468671</v>
      </c>
      <c r="Q98" s="82">
        <f t="shared" si="12"/>
        <v>652.94394374567423</v>
      </c>
    </row>
    <row r="116" spans="1:17" ht="18.75" x14ac:dyDescent="0.3">
      <c r="A116" s="150" t="s">
        <v>28</v>
      </c>
      <c r="B116" s="150"/>
      <c r="C116" s="151" t="s">
        <v>357</v>
      </c>
      <c r="D116" s="151" t="s">
        <v>357</v>
      </c>
      <c r="E116" s="151" t="s">
        <v>358</v>
      </c>
      <c r="F116" s="151" t="s">
        <v>358</v>
      </c>
      <c r="G116" s="151" t="s">
        <v>358</v>
      </c>
      <c r="H116" s="151" t="s">
        <v>359</v>
      </c>
      <c r="I116" s="151" t="s">
        <v>359</v>
      </c>
      <c r="P116" s="2"/>
      <c r="Q116" s="2"/>
    </row>
    <row r="117" spans="1:17" s="2" customFormat="1" ht="63" customHeight="1" x14ac:dyDescent="0.35">
      <c r="A117" s="154" t="s">
        <v>31</v>
      </c>
      <c r="B117" s="155" t="str">
        <f t="shared" ref="B117:I117" si="13">B13</f>
        <v>-</v>
      </c>
      <c r="C117" s="156" t="str">
        <f t="shared" si="13"/>
        <v>WMTC short range</v>
      </c>
      <c r="D117" s="156" t="str">
        <f t="shared" si="13"/>
        <v>WMTC mid mile</v>
      </c>
      <c r="E117" s="156" t="str">
        <f t="shared" si="13"/>
        <v>WMTC short range</v>
      </c>
      <c r="F117" s="156" t="str">
        <f t="shared" si="13"/>
        <v>WMTC mid mile</v>
      </c>
      <c r="G117" s="156" t="str">
        <f t="shared" si="13"/>
        <v>WMTC metropole</v>
      </c>
      <c r="H117" s="156" t="str">
        <f t="shared" si="13"/>
        <v>WMTC short range</v>
      </c>
      <c r="I117" s="156" t="str">
        <f t="shared" si="13"/>
        <v>WMTC mid mile</v>
      </c>
      <c r="J117"/>
      <c r="K117"/>
      <c r="L117"/>
      <c r="M117"/>
      <c r="N117"/>
      <c r="O117"/>
      <c r="P117"/>
      <c r="Q117"/>
    </row>
    <row r="118" spans="1:17" ht="37.5" x14ac:dyDescent="0.3">
      <c r="A118" s="154" t="s">
        <v>325</v>
      </c>
      <c r="B118" s="157" t="str">
        <f t="shared" ref="B118:I120" si="14">B28</f>
        <v>m</v>
      </c>
      <c r="C118" s="158">
        <f t="shared" si="14"/>
        <v>4.0283506113633161</v>
      </c>
      <c r="D118" s="158">
        <f t="shared" si="14"/>
        <v>4.0283506113633161</v>
      </c>
      <c r="E118" s="158">
        <f t="shared" si="14"/>
        <v>4.1664373893141446</v>
      </c>
      <c r="F118" s="158">
        <f t="shared" si="14"/>
        <v>4.1664373893141446</v>
      </c>
      <c r="G118" s="158">
        <f t="shared" si="14"/>
        <v>4.7506772443483944</v>
      </c>
      <c r="H118" s="158">
        <f t="shared" si="14"/>
        <v>4.1664373893141446</v>
      </c>
      <c r="I118" s="158">
        <f t="shared" si="14"/>
        <v>4.1664373893141446</v>
      </c>
    </row>
    <row r="119" spans="1:17" ht="37.5" x14ac:dyDescent="0.3">
      <c r="A119" s="166" t="s">
        <v>324</v>
      </c>
      <c r="B119" s="157" t="str">
        <f t="shared" ref="B119:I119" si="15">B29</f>
        <v>m</v>
      </c>
      <c r="C119" s="158">
        <f t="shared" si="15"/>
        <v>2.8969729033455467</v>
      </c>
      <c r="D119" s="158">
        <f t="shared" si="15"/>
        <v>2.8969729033455467</v>
      </c>
      <c r="E119" s="158">
        <f t="shared" si="15"/>
        <v>2.7469729033455463</v>
      </c>
      <c r="F119" s="158">
        <f t="shared" si="15"/>
        <v>2.7469729033455463</v>
      </c>
      <c r="G119" s="158">
        <f t="shared" si="15"/>
        <v>3.2964683872364713</v>
      </c>
      <c r="H119" s="158">
        <f t="shared" si="15"/>
        <v>2.7469729033455463</v>
      </c>
      <c r="I119" s="158">
        <f t="shared" si="15"/>
        <v>2.7469729033455463</v>
      </c>
      <c r="J119" s="151" t="s">
        <v>359</v>
      </c>
      <c r="K119" s="151"/>
      <c r="L119" s="151" t="s">
        <v>358</v>
      </c>
      <c r="M119" s="151" t="s">
        <v>358</v>
      </c>
      <c r="N119" s="151" t="s">
        <v>359</v>
      </c>
      <c r="O119" s="151" t="s">
        <v>359</v>
      </c>
    </row>
    <row r="120" spans="1:17" ht="63" x14ac:dyDescent="0.35">
      <c r="A120" s="154" t="s">
        <v>326</v>
      </c>
      <c r="B120" s="157" t="str">
        <f t="shared" si="14"/>
        <v>m</v>
      </c>
      <c r="C120" s="158">
        <f t="shared" si="14"/>
        <v>3.8583273932975759</v>
      </c>
      <c r="D120" s="158">
        <f t="shared" si="14"/>
        <v>3.8583273932975759</v>
      </c>
      <c r="E120" s="158">
        <f t="shared" si="14"/>
        <v>3.8583273932975759</v>
      </c>
      <c r="F120" s="158">
        <f t="shared" si="14"/>
        <v>3.8583273932975759</v>
      </c>
      <c r="G120" s="158">
        <f t="shared" si="14"/>
        <v>4.442815060360326</v>
      </c>
      <c r="H120" s="158">
        <f t="shared" si="14"/>
        <v>3.8583273932975759</v>
      </c>
      <c r="I120" s="158">
        <f t="shared" si="14"/>
        <v>3.8583273932975759</v>
      </c>
      <c r="J120" s="156" t="str">
        <f>J13</f>
        <v>WMTC metropole</v>
      </c>
      <c r="K120" s="156"/>
      <c r="L120" s="156" t="str">
        <f>N13</f>
        <v>WLTC mid-mile</v>
      </c>
      <c r="M120" s="156" t="str">
        <f>O13</f>
        <v>WLTC metrolpole</v>
      </c>
      <c r="N120" s="156" t="str">
        <f>P13</f>
        <v>WLTC mid-mile</v>
      </c>
      <c r="O120" s="156" t="str">
        <f>Q13</f>
        <v>WLTC metrolpole</v>
      </c>
    </row>
    <row r="121" spans="1:17" ht="23.25" x14ac:dyDescent="0.35">
      <c r="A121" s="159" t="s">
        <v>323</v>
      </c>
      <c r="B121" s="161"/>
      <c r="C121" s="163">
        <f t="shared" ref="C121:I121" si="16">C12</f>
        <v>100</v>
      </c>
      <c r="D121" s="163">
        <f t="shared" si="16"/>
        <v>180</v>
      </c>
      <c r="E121" s="163">
        <f t="shared" si="16"/>
        <v>100</v>
      </c>
      <c r="F121" s="163">
        <f t="shared" si="16"/>
        <v>180</v>
      </c>
      <c r="G121" s="163">
        <f t="shared" si="16"/>
        <v>250</v>
      </c>
      <c r="H121" s="163">
        <f t="shared" si="16"/>
        <v>100</v>
      </c>
      <c r="I121" s="163">
        <f t="shared" si="16"/>
        <v>180</v>
      </c>
      <c r="J121" s="158">
        <f>J28</f>
        <v>5.0428424648733028</v>
      </c>
      <c r="K121" s="158"/>
      <c r="L121" s="158">
        <f t="shared" ref="L121:O123" si="17">N28</f>
        <v>4.1664373893141446</v>
      </c>
      <c r="M121" s="158">
        <f t="shared" si="17"/>
        <v>4.1664373893141446</v>
      </c>
      <c r="N121" s="158">
        <f t="shared" si="17"/>
        <v>4.1664373893141446</v>
      </c>
      <c r="O121" s="158">
        <f t="shared" si="17"/>
        <v>4.1664373893141446</v>
      </c>
    </row>
    <row r="122" spans="1:17" ht="23.25" x14ac:dyDescent="0.35">
      <c r="A122" s="161" t="s">
        <v>17</v>
      </c>
      <c r="B122" s="161"/>
      <c r="C122" s="164">
        <f>C23</f>
        <v>3.6222222222222222</v>
      </c>
      <c r="D122" s="164">
        <f t="shared" ref="D122:I122" si="18">D23</f>
        <v>6.78</v>
      </c>
      <c r="E122" s="164">
        <f t="shared" si="18"/>
        <v>5.9494444444444445</v>
      </c>
      <c r="F122" s="164">
        <f t="shared" si="18"/>
        <v>11.177899999999999</v>
      </c>
      <c r="G122" s="164">
        <f t="shared" si="18"/>
        <v>20.828666666666663</v>
      </c>
      <c r="H122" s="164">
        <f t="shared" si="18"/>
        <v>6.7455555555555557</v>
      </c>
      <c r="I122" s="164">
        <f t="shared" si="18"/>
        <v>13.621999999999998</v>
      </c>
      <c r="J122" s="158">
        <f>J29</f>
        <v>3.5712161291819342</v>
      </c>
      <c r="K122" s="158"/>
      <c r="L122" s="158">
        <f t="shared" si="17"/>
        <v>2.7469729033455463</v>
      </c>
      <c r="M122" s="158">
        <f t="shared" si="17"/>
        <v>2.7469729033455463</v>
      </c>
      <c r="N122" s="158">
        <f t="shared" si="17"/>
        <v>2.7469729033455463</v>
      </c>
      <c r="O122" s="158">
        <f t="shared" si="17"/>
        <v>2.7469729033455463</v>
      </c>
    </row>
    <row r="123" spans="1:17" ht="23.25" x14ac:dyDescent="0.35">
      <c r="A123" s="159" t="str">
        <f>packaging!A40</f>
        <v>number of decks</v>
      </c>
      <c r="B123" s="160"/>
      <c r="C123" s="165">
        <f>packaging!C40</f>
        <v>1</v>
      </c>
      <c r="D123" s="165">
        <f>packaging!D40</f>
        <v>2</v>
      </c>
      <c r="E123" s="165">
        <f>packaging!E40</f>
        <v>2</v>
      </c>
      <c r="F123" s="165">
        <f>packaging!F40</f>
        <v>3</v>
      </c>
      <c r="G123" s="165">
        <f>packaging!G40</f>
        <v>3</v>
      </c>
      <c r="H123" s="165">
        <f>packaging!H40</f>
        <v>2</v>
      </c>
      <c r="I123" s="165">
        <f>packaging!I40</f>
        <v>3</v>
      </c>
      <c r="J123" s="158">
        <f>J30</f>
        <v>4.7350841934461902</v>
      </c>
      <c r="K123" s="158"/>
      <c r="L123" s="158">
        <f t="shared" si="17"/>
        <v>3.8583273932975759</v>
      </c>
      <c r="M123" s="158">
        <f t="shared" si="17"/>
        <v>3.8583273932975759</v>
      </c>
      <c r="N123" s="158">
        <f t="shared" si="17"/>
        <v>3.8583273932975759</v>
      </c>
      <c r="O123" s="158">
        <f t="shared" si="17"/>
        <v>3.8583273932975759</v>
      </c>
    </row>
    <row r="124" spans="1:17" ht="23.25" x14ac:dyDescent="0.35">
      <c r="A124" s="159" t="str">
        <f>packaging!A41</f>
        <v># modules per decks</v>
      </c>
      <c r="B124" s="160"/>
      <c r="C124" s="167">
        <f>packaging!C41</f>
        <v>1</v>
      </c>
      <c r="D124" s="167">
        <f>packaging!D41</f>
        <v>1</v>
      </c>
      <c r="E124" s="167">
        <f>packaging!E41</f>
        <v>1</v>
      </c>
      <c r="F124" s="167">
        <f>packaging!F41</f>
        <v>1</v>
      </c>
      <c r="G124" s="167">
        <f>packaging!G41</f>
        <v>1.6666666666666667</v>
      </c>
      <c r="H124" s="167">
        <f>packaging!H41</f>
        <v>1</v>
      </c>
      <c r="I124" s="167">
        <f>packaging!I41</f>
        <v>1</v>
      </c>
      <c r="J124" s="163">
        <f>J12</f>
        <v>250</v>
      </c>
      <c r="K124" s="163"/>
      <c r="L124" s="163">
        <f>L12</f>
        <v>180</v>
      </c>
      <c r="M124" s="163">
        <f>M12</f>
        <v>250</v>
      </c>
      <c r="N124" s="163">
        <f>N12</f>
        <v>180</v>
      </c>
      <c r="O124" s="163">
        <f>O12</f>
        <v>250</v>
      </c>
    </row>
    <row r="125" spans="1:17" ht="23.25" x14ac:dyDescent="0.35">
      <c r="J125" s="164">
        <f>J23</f>
        <v>25.666666666666664</v>
      </c>
      <c r="K125" s="164"/>
      <c r="L125" s="164">
        <f>L23</f>
        <v>19.600000000000001</v>
      </c>
      <c r="M125" s="164">
        <f>M23</f>
        <v>31.388888888888886</v>
      </c>
      <c r="N125" s="164">
        <f>N23</f>
        <v>4.84</v>
      </c>
      <c r="O125" s="164">
        <f>O23</f>
        <v>6.9444444444444446</v>
      </c>
    </row>
    <row r="126" spans="1:17" ht="23.25" x14ac:dyDescent="0.35">
      <c r="J126" s="165">
        <f>packaging!J40</f>
        <v>3</v>
      </c>
      <c r="K126" s="165"/>
      <c r="L126" s="165">
        <f>packaging!O40</f>
        <v>1</v>
      </c>
      <c r="M126" s="165">
        <f>packaging!P40</f>
        <v>2</v>
      </c>
      <c r="N126" s="165">
        <f>packaging!Q40</f>
        <v>2</v>
      </c>
      <c r="O126" s="165">
        <f>packaging!R40</f>
        <v>2</v>
      </c>
    </row>
    <row r="127" spans="1:17" ht="23.25" x14ac:dyDescent="0.35">
      <c r="J127" s="167">
        <f>packaging!J41</f>
        <v>2</v>
      </c>
      <c r="K127" s="167"/>
      <c r="L127" s="167">
        <f>packaging!O41</f>
        <v>1</v>
      </c>
      <c r="M127" s="167">
        <f>packaging!P41</f>
        <v>1</v>
      </c>
      <c r="N127" s="167">
        <f>packaging!Q41</f>
        <v>1</v>
      </c>
      <c r="O127" s="167">
        <f>packaging!R41</f>
        <v>1</v>
      </c>
    </row>
    <row r="128" spans="1:17" ht="18.75" x14ac:dyDescent="0.3">
      <c r="A128" s="150" t="s">
        <v>1</v>
      </c>
      <c r="B128" s="150"/>
      <c r="C128" s="151" t="s">
        <v>192</v>
      </c>
      <c r="D128" s="151" t="s">
        <v>192</v>
      </c>
      <c r="E128" s="151" t="s">
        <v>193</v>
      </c>
      <c r="F128" s="151" t="s">
        <v>193</v>
      </c>
      <c r="G128" s="151" t="s">
        <v>193</v>
      </c>
      <c r="H128" s="151" t="s">
        <v>194</v>
      </c>
      <c r="I128" s="151" t="s">
        <v>194</v>
      </c>
    </row>
    <row r="129" spans="1:17" ht="42" x14ac:dyDescent="0.35">
      <c r="A129" s="154" t="s">
        <v>322</v>
      </c>
      <c r="B129" s="155" t="s">
        <v>7</v>
      </c>
      <c r="C129" s="156" t="s">
        <v>327</v>
      </c>
      <c r="D129" s="156" t="s">
        <v>196</v>
      </c>
      <c r="E129" s="156" t="s">
        <v>327</v>
      </c>
      <c r="F129" s="156" t="s">
        <v>196</v>
      </c>
      <c r="G129" s="156" t="s">
        <v>197</v>
      </c>
      <c r="H129" s="156" t="s">
        <v>327</v>
      </c>
      <c r="I129" s="156" t="s">
        <v>196</v>
      </c>
      <c r="P129" s="170"/>
      <c r="Q129" s="170"/>
    </row>
    <row r="130" spans="1:17" s="170" customFormat="1" ht="18.75" x14ac:dyDescent="0.3">
      <c r="A130" s="170" t="str">
        <f>A27</f>
        <v>eigen value</v>
      </c>
      <c r="B130" s="170" t="str">
        <f t="shared" ref="B130:I130" si="19">B27</f>
        <v>kgm2</v>
      </c>
      <c r="C130" s="173">
        <f t="shared" si="19"/>
        <v>174.4727488074027</v>
      </c>
      <c r="D130" s="173">
        <f t="shared" si="19"/>
        <v>176.19234390930572</v>
      </c>
      <c r="E130" s="173">
        <f t="shared" si="19"/>
        <v>385.75113889382243</v>
      </c>
      <c r="F130" s="173">
        <f t="shared" si="19"/>
        <v>390.69639682936258</v>
      </c>
      <c r="G130" s="173">
        <f t="shared" si="19"/>
        <v>399.62258815061261</v>
      </c>
      <c r="H130" s="173">
        <f t="shared" si="19"/>
        <v>623.06896739999524</v>
      </c>
      <c r="I130" s="173">
        <f t="shared" si="19"/>
        <v>629.98583066913102</v>
      </c>
      <c r="J130"/>
      <c r="K130"/>
      <c r="L130"/>
      <c r="M130"/>
      <c r="N130"/>
      <c r="O130"/>
      <c r="P130"/>
      <c r="Q130"/>
    </row>
    <row r="131" spans="1:17" ht="18.75" x14ac:dyDescent="0.3">
      <c r="A131" s="161" t="str">
        <f>A17</f>
        <v>GVW</v>
      </c>
      <c r="B131" s="161" t="str">
        <f t="shared" ref="B131:I131" si="20">B17</f>
        <v>kg</v>
      </c>
      <c r="C131" s="174">
        <f t="shared" si="20"/>
        <v>240.12345679012347</v>
      </c>
      <c r="D131" s="174">
        <f t="shared" si="20"/>
        <v>257.66666666666669</v>
      </c>
      <c r="E131" s="174">
        <f t="shared" si="20"/>
        <v>353.05246913580248</v>
      </c>
      <c r="F131" s="174">
        <f t="shared" si="20"/>
        <v>382.09944444444443</v>
      </c>
      <c r="G131" s="174">
        <f t="shared" si="20"/>
        <v>435.71481481481482</v>
      </c>
      <c r="H131" s="174">
        <f t="shared" si="20"/>
        <v>457.47530864197529</v>
      </c>
      <c r="I131" s="174">
        <f t="shared" si="20"/>
        <v>495.67777777777775</v>
      </c>
      <c r="J131" s="151" t="s">
        <v>194</v>
      </c>
      <c r="K131" s="151"/>
      <c r="L131" s="151" t="s">
        <v>193</v>
      </c>
      <c r="M131" s="151" t="s">
        <v>193</v>
      </c>
      <c r="N131" s="151" t="s">
        <v>194</v>
      </c>
      <c r="O131" s="151" t="s">
        <v>194</v>
      </c>
    </row>
    <row r="132" spans="1:17" ht="63" x14ac:dyDescent="0.35">
      <c r="J132" s="156" t="s">
        <v>197</v>
      </c>
      <c r="K132" s="156"/>
      <c r="L132" s="156" t="s">
        <v>198</v>
      </c>
      <c r="M132" s="156" t="s">
        <v>199</v>
      </c>
      <c r="N132" s="156" t="s">
        <v>198</v>
      </c>
      <c r="O132" s="156" t="s">
        <v>199</v>
      </c>
    </row>
    <row r="133" spans="1:17" ht="18.75" x14ac:dyDescent="0.3">
      <c r="J133" s="173">
        <f>J27</f>
        <v>640.60467646172367</v>
      </c>
      <c r="K133" s="173"/>
      <c r="L133" s="173">
        <f>N27</f>
        <v>405.08230931357559</v>
      </c>
      <c r="M133" s="173">
        <f>O27</f>
        <v>416.59997133826687</v>
      </c>
      <c r="N133" s="173">
        <f>P27</f>
        <v>650.70340342468671</v>
      </c>
      <c r="O133" s="173">
        <f>Q27</f>
        <v>652.94394374567423</v>
      </c>
    </row>
    <row r="134" spans="1:17" ht="18.75" x14ac:dyDescent="0.3">
      <c r="J134" s="174">
        <f>J17</f>
        <v>562.59259259259261</v>
      </c>
      <c r="K134" s="174"/>
      <c r="L134" s="174">
        <f>N17</f>
        <v>346.88888888888891</v>
      </c>
      <c r="M134" s="174">
        <f>O17</f>
        <v>358.58024691358025</v>
      </c>
      <c r="N134" s="174">
        <f>P17</f>
        <v>453.66666666666669</v>
      </c>
      <c r="O134" s="174">
        <f>Q17</f>
        <v>470.15432098765433</v>
      </c>
    </row>
    <row r="135" spans="1:17" ht="18.75" x14ac:dyDescent="0.3">
      <c r="A135" s="150" t="s">
        <v>1</v>
      </c>
      <c r="B135" s="150"/>
      <c r="C135" s="151" t="s">
        <v>192</v>
      </c>
      <c r="D135" s="151" t="s">
        <v>193</v>
      </c>
      <c r="E135" s="151" t="s">
        <v>194</v>
      </c>
    </row>
    <row r="136" spans="1:17" ht="69.75" x14ac:dyDescent="0.35">
      <c r="A136" s="183" t="s">
        <v>322</v>
      </c>
      <c r="B136" s="184"/>
      <c r="C136" s="184" t="s">
        <v>196</v>
      </c>
      <c r="D136" s="184" t="s">
        <v>197</v>
      </c>
      <c r="E136" s="184" t="s">
        <v>197</v>
      </c>
    </row>
    <row r="137" spans="1:17" ht="23.25" x14ac:dyDescent="0.35">
      <c r="A137" s="183" t="s">
        <v>291</v>
      </c>
      <c r="B137" s="185" t="s">
        <v>10</v>
      </c>
      <c r="C137" s="158">
        <v>254</v>
      </c>
      <c r="D137" s="158">
        <v>436</v>
      </c>
      <c r="E137" s="158">
        <v>563</v>
      </c>
    </row>
    <row r="138" spans="1:17" ht="69.75" x14ac:dyDescent="0.35">
      <c r="A138" s="186" t="s">
        <v>335</v>
      </c>
      <c r="B138" s="185" t="s">
        <v>152</v>
      </c>
      <c r="C138" s="158">
        <v>7.5</v>
      </c>
      <c r="D138" s="158">
        <v>7.5</v>
      </c>
      <c r="E138" s="158">
        <v>7.5</v>
      </c>
    </row>
    <row r="139" spans="1:17" ht="46.5" x14ac:dyDescent="0.35">
      <c r="A139" s="183" t="s">
        <v>336</v>
      </c>
      <c r="B139" s="185" t="s">
        <v>337</v>
      </c>
      <c r="C139" s="158">
        <v>4.0599999999999996</v>
      </c>
      <c r="D139" s="158">
        <v>4.0999999999999996</v>
      </c>
      <c r="E139" s="158">
        <v>4.0599999999999996</v>
      </c>
    </row>
    <row r="140" spans="1:17" ht="46.5" x14ac:dyDescent="0.35">
      <c r="A140" s="183" t="s">
        <v>338</v>
      </c>
      <c r="B140" s="184" t="s">
        <v>339</v>
      </c>
      <c r="C140" s="187">
        <v>31.016115309748564</v>
      </c>
      <c r="D140" s="187">
        <v>31.321692800485</v>
      </c>
      <c r="E140" s="187">
        <v>31.016115309748564</v>
      </c>
    </row>
    <row r="141" spans="1:17" ht="46.5" x14ac:dyDescent="0.35">
      <c r="A141" s="183" t="s">
        <v>340</v>
      </c>
      <c r="B141" s="185" t="s">
        <v>341</v>
      </c>
      <c r="C141" s="158">
        <v>0.22403805640502883</v>
      </c>
      <c r="D141" s="158">
        <v>0.22847434590553853</v>
      </c>
      <c r="E141" s="158">
        <v>0.22403805640502883</v>
      </c>
    </row>
    <row r="142" spans="1:17" ht="23.25" x14ac:dyDescent="0.35">
      <c r="A142" s="186" t="s">
        <v>12</v>
      </c>
      <c r="B142" s="185" t="s">
        <v>152</v>
      </c>
      <c r="C142" s="158">
        <v>1.2</v>
      </c>
      <c r="D142" s="158">
        <v>1.4</v>
      </c>
      <c r="E142" s="158">
        <v>1.4</v>
      </c>
    </row>
    <row r="143" spans="1:17" ht="46.5" x14ac:dyDescent="0.35">
      <c r="A143" s="183" t="s">
        <v>342</v>
      </c>
      <c r="B143" s="185" t="s">
        <v>341</v>
      </c>
      <c r="C143" s="158">
        <v>0.22392165102549058</v>
      </c>
      <c r="D143" s="158">
        <v>0.22627366455366238</v>
      </c>
      <c r="E143" s="158">
        <v>0.22392165102549058</v>
      </c>
    </row>
    <row r="144" spans="1:17" ht="23.25" x14ac:dyDescent="0.35">
      <c r="A144" s="183" t="s">
        <v>343</v>
      </c>
      <c r="B144" s="184" t="s">
        <v>344</v>
      </c>
      <c r="C144" s="188">
        <v>555.75786332969585</v>
      </c>
      <c r="D144" s="188">
        <v>967.80866708234271</v>
      </c>
      <c r="E144" s="188">
        <v>1236.7259962633154</v>
      </c>
    </row>
    <row r="145" spans="1:5" ht="46.5" x14ac:dyDescent="0.35">
      <c r="A145" s="186" t="s">
        <v>345</v>
      </c>
      <c r="B145" s="185" t="s">
        <v>311</v>
      </c>
      <c r="C145" s="158">
        <v>1.27</v>
      </c>
      <c r="D145" s="158">
        <v>1.38</v>
      </c>
      <c r="E145" s="158">
        <v>1.52</v>
      </c>
    </row>
    <row r="146" spans="1:5" ht="46.5" x14ac:dyDescent="0.35">
      <c r="A146" s="183" t="s">
        <v>346</v>
      </c>
      <c r="B146" s="185" t="s">
        <v>311</v>
      </c>
      <c r="C146" s="158">
        <v>0.77</v>
      </c>
      <c r="D146" s="158">
        <v>0.92</v>
      </c>
      <c r="E146" s="158">
        <v>1.06</v>
      </c>
    </row>
  </sheetData>
  <mergeCells count="13">
    <mergeCell ref="J43:J47"/>
    <mergeCell ref="L56:N56"/>
    <mergeCell ref="O56:Q56"/>
    <mergeCell ref="J57:J61"/>
    <mergeCell ref="N9:Q9"/>
    <mergeCell ref="K40:P40"/>
    <mergeCell ref="K46:K47"/>
    <mergeCell ref="K54:P54"/>
    <mergeCell ref="K44:K45"/>
    <mergeCell ref="L42:N42"/>
    <mergeCell ref="O42:Q42"/>
    <mergeCell ref="K58:K59"/>
    <mergeCell ref="K60:K61"/>
  </mergeCells>
  <phoneticPr fontId="6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56C17-D6CC-4BE3-8F80-FC4A59C7F746}">
  <dimension ref="A1:T35"/>
  <sheetViews>
    <sheetView zoomScaleNormal="100" workbookViewId="0">
      <selection activeCell="Q15" sqref="Q15"/>
    </sheetView>
  </sheetViews>
  <sheetFormatPr defaultRowHeight="15" x14ac:dyDescent="0.25"/>
  <cols>
    <col min="1" max="1" width="23.85546875" customWidth="1"/>
    <col min="2" max="2" width="13.7109375" customWidth="1"/>
    <col min="3" max="3" width="11.140625" bestFit="1" customWidth="1"/>
    <col min="4" max="4" width="9.5703125" bestFit="1" customWidth="1"/>
    <col min="5" max="5" width="9.140625" customWidth="1"/>
    <col min="6" max="7" width="9.5703125" bestFit="1" customWidth="1"/>
    <col min="8" max="9" width="10.5703125" bestFit="1" customWidth="1"/>
    <col min="10" max="16" width="10.7109375" customWidth="1"/>
    <col min="17" max="17" width="24.28515625" customWidth="1"/>
    <col min="18" max="18" width="49.5703125" customWidth="1"/>
    <col min="21" max="21" width="12" bestFit="1" customWidth="1"/>
  </cols>
  <sheetData>
    <row r="1" spans="1:20" ht="21" x14ac:dyDescent="0.35">
      <c r="A1" s="214" t="s">
        <v>389</v>
      </c>
    </row>
    <row r="3" spans="1:20" x14ac:dyDescent="0.25">
      <c r="A3" t="s">
        <v>30</v>
      </c>
      <c r="C3" s="272" t="s">
        <v>32</v>
      </c>
      <c r="D3" s="272"/>
      <c r="E3" s="272"/>
      <c r="F3" s="272"/>
      <c r="G3" s="272"/>
      <c r="H3" s="272"/>
      <c r="I3" s="272"/>
      <c r="J3" s="272"/>
      <c r="K3" s="272" t="s">
        <v>0</v>
      </c>
      <c r="L3" s="272"/>
      <c r="M3" s="272"/>
      <c r="N3" s="272"/>
      <c r="O3" s="272"/>
      <c r="P3" s="272"/>
    </row>
    <row r="4" spans="1:20" x14ac:dyDescent="0.25">
      <c r="A4" t="s">
        <v>42</v>
      </c>
      <c r="C4" s="50" t="str">
        <f>'[1]decision matrix'!D19</f>
        <v>V1</v>
      </c>
      <c r="D4" s="50" t="str">
        <f>'[1]decision matrix'!E19</f>
        <v>V1</v>
      </c>
      <c r="E4" s="50" t="str">
        <f>'[1]decision matrix'!F19</f>
        <v>V2</v>
      </c>
      <c r="F4" s="50" t="str">
        <f>'use case data'!G17</f>
        <v>V2</v>
      </c>
      <c r="G4" s="50" t="str">
        <f>'use case data'!H17</f>
        <v>V2</v>
      </c>
      <c r="H4" s="50" t="str">
        <f>'use case data'!I17</f>
        <v>V3</v>
      </c>
      <c r="I4" s="50" t="str">
        <f>'use case data'!J17</f>
        <v>V3</v>
      </c>
      <c r="J4" s="50" t="str">
        <f>'use case data'!K17</f>
        <v>V3</v>
      </c>
      <c r="K4" s="84" t="str">
        <f>'use case data'!M17</f>
        <v>4 wheel</v>
      </c>
      <c r="L4" s="84" t="str">
        <f>'use case data'!N17</f>
        <v>4 wheel</v>
      </c>
      <c r="M4" s="50" t="str">
        <f>'use case data'!O17</f>
        <v>V2</v>
      </c>
      <c r="N4" s="50" t="str">
        <f>'use case data'!P17</f>
        <v>V2</v>
      </c>
      <c r="O4" s="50" t="str">
        <f>'use case data'!Q17</f>
        <v>V3</v>
      </c>
      <c r="P4" s="50" t="str">
        <f>'use case data'!R17</f>
        <v>V3</v>
      </c>
    </row>
    <row r="5" spans="1:20" x14ac:dyDescent="0.25">
      <c r="C5" s="56">
        <f>'[1]decision matrix'!D20</f>
        <v>1</v>
      </c>
      <c r="D5" s="56">
        <f>'[1]decision matrix'!E20</f>
        <v>1</v>
      </c>
      <c r="E5" s="56">
        <f>'[1]decision matrix'!F20</f>
        <v>2</v>
      </c>
      <c r="F5" s="56">
        <f>'use case data'!G18</f>
        <v>2</v>
      </c>
      <c r="G5" s="56">
        <f>'use case data'!H18</f>
        <v>2</v>
      </c>
      <c r="H5" s="56">
        <f>'use case data'!I18</f>
        <v>3</v>
      </c>
      <c r="I5" s="56">
        <f>'use case data'!J18</f>
        <v>3</v>
      </c>
      <c r="J5" s="56">
        <f>'use case data'!K18</f>
        <v>3</v>
      </c>
      <c r="K5" s="56">
        <f>'use case data'!M18</f>
        <v>3</v>
      </c>
      <c r="L5" s="56">
        <f>'use case data'!N18</f>
        <v>3</v>
      </c>
      <c r="M5" s="56">
        <f>'use case data'!O18</f>
        <v>2</v>
      </c>
      <c r="N5" s="56">
        <f>'use case data'!P18</f>
        <v>2</v>
      </c>
      <c r="O5" s="56">
        <f>'use case data'!Q18</f>
        <v>3</v>
      </c>
      <c r="P5" s="56">
        <f>'use case data'!R18</f>
        <v>3</v>
      </c>
      <c r="R5" s="252" t="s">
        <v>328</v>
      </c>
      <c r="S5" s="13"/>
      <c r="T5" s="13"/>
    </row>
    <row r="6" spans="1:20" x14ac:dyDescent="0.25">
      <c r="A6" t="s">
        <v>43</v>
      </c>
      <c r="B6" s="46" t="s">
        <v>44</v>
      </c>
      <c r="C6" s="8">
        <f>pack_cost*packaging!C35</f>
        <v>362.22222222222223</v>
      </c>
      <c r="D6" s="8">
        <f>pack_cost*packaging!D35</f>
        <v>678</v>
      </c>
      <c r="E6" s="8">
        <f>pack_cost*packaging!E35</f>
        <v>594.94444444444446</v>
      </c>
      <c r="F6" s="8">
        <f>pack_cost*packaging!F35</f>
        <v>1117.79</v>
      </c>
      <c r="G6" s="8">
        <f>pack_cost*packaging!G35</f>
        <v>2082.8666666666663</v>
      </c>
      <c r="H6" s="8">
        <f>pack_cost*packaging!H35</f>
        <v>674.55555555555554</v>
      </c>
      <c r="I6" s="8">
        <f>pack_cost*packaging!I35</f>
        <v>1362.1999999999998</v>
      </c>
      <c r="J6" s="8">
        <f>pack_cost*packaging!J35</f>
        <v>2566.6666666666665</v>
      </c>
      <c r="K6" s="8">
        <f>pack_cost*packaging!L35</f>
        <v>1960.0000000000002</v>
      </c>
      <c r="L6" s="8">
        <f>pack_cost*packaging!M35</f>
        <v>3138.8888888888887</v>
      </c>
      <c r="M6" s="8">
        <f>pack_cost*packaging!O35</f>
        <v>484</v>
      </c>
      <c r="N6" s="8">
        <f>pack_cost*packaging!P35</f>
        <v>694.44444444444446</v>
      </c>
      <c r="O6" s="8">
        <f>pack_cost*packaging!Q35</f>
        <v>606</v>
      </c>
      <c r="P6" s="8">
        <f>pack_cost*packaging!R35</f>
        <v>902.77777777777771</v>
      </c>
      <c r="R6" s="13" t="s">
        <v>45</v>
      </c>
      <c r="S6" s="13">
        <v>100</v>
      </c>
      <c r="T6" s="13" t="s">
        <v>46</v>
      </c>
    </row>
    <row r="7" spans="1:20" x14ac:dyDescent="0.25">
      <c r="A7" t="s">
        <v>47</v>
      </c>
      <c r="B7" s="46" t="s">
        <v>44</v>
      </c>
      <c r="C7" s="3">
        <f>motor_cost*packaging!C37</f>
        <v>30</v>
      </c>
      <c r="D7" s="3">
        <f>motor_cost*packaging!D37</f>
        <v>60</v>
      </c>
      <c r="E7" s="3">
        <f>motor_cost*packaging!E37</f>
        <v>60</v>
      </c>
      <c r="F7" s="3">
        <f>motor_cost*packaging!F37</f>
        <v>90</v>
      </c>
      <c r="G7" s="3">
        <f>motor_cost*packaging!G37</f>
        <v>120</v>
      </c>
      <c r="H7" s="3">
        <f>motor_cost*packaging!H37</f>
        <v>120</v>
      </c>
      <c r="I7" s="3">
        <f>motor_cost*packaging!I37</f>
        <v>120</v>
      </c>
      <c r="J7" s="3">
        <f>motor_cost*packaging!J37</f>
        <v>150</v>
      </c>
      <c r="K7" s="3">
        <f>motor_cost*packaging!L37</f>
        <v>1000</v>
      </c>
      <c r="L7" s="3">
        <f>motor_cost*packaging!M37</f>
        <v>1000</v>
      </c>
      <c r="M7" s="3">
        <f>motor_cost*packaging!O37</f>
        <v>150</v>
      </c>
      <c r="N7" s="3">
        <f>motor_cost*packaging!P37</f>
        <v>160</v>
      </c>
      <c r="O7" s="3">
        <f>motor_cost*packaging!Q37</f>
        <v>170</v>
      </c>
      <c r="P7" s="3">
        <f>motor_cost*packaging!R37</f>
        <v>180</v>
      </c>
      <c r="R7" s="13" t="s">
        <v>48</v>
      </c>
      <c r="S7" s="13">
        <v>10</v>
      </c>
      <c r="T7" s="13" t="s">
        <v>49</v>
      </c>
    </row>
    <row r="8" spans="1:20" ht="15.75" customHeight="1" x14ac:dyDescent="0.25">
      <c r="A8" t="s">
        <v>50</v>
      </c>
      <c r="C8" s="3">
        <f>powerE_cost*packaging!C37</f>
        <v>9</v>
      </c>
      <c r="D8" s="3">
        <f>powerE_cost*packaging!D37</f>
        <v>18</v>
      </c>
      <c r="E8" s="3">
        <f>powerE_cost*packaging!E37</f>
        <v>18</v>
      </c>
      <c r="F8" s="3">
        <f>powerE_cost*packaging!F37</f>
        <v>27</v>
      </c>
      <c r="G8" s="3">
        <f>powerE_cost*packaging!G37</f>
        <v>36</v>
      </c>
      <c r="H8" s="3">
        <f>powerE_cost*packaging!H37</f>
        <v>36</v>
      </c>
      <c r="I8" s="3">
        <f>powerE_cost*packaging!I37</f>
        <v>36</v>
      </c>
      <c r="J8" s="3">
        <f>powerE_cost*packaging!J37</f>
        <v>45</v>
      </c>
      <c r="K8" s="3">
        <f>powerE_cost*packaging!L37</f>
        <v>300</v>
      </c>
      <c r="L8" s="3">
        <f>powerE_cost*packaging!M37</f>
        <v>300</v>
      </c>
      <c r="M8" s="3">
        <f>powerE_cost*packaging!O37</f>
        <v>45</v>
      </c>
      <c r="N8" s="3">
        <f>powerE_cost*packaging!P37</f>
        <v>48</v>
      </c>
      <c r="O8" s="3">
        <f>powerE_cost*packaging!Q37</f>
        <v>51</v>
      </c>
      <c r="P8" s="3">
        <f>powerE_cost*packaging!R37</f>
        <v>54</v>
      </c>
      <c r="R8" s="24" t="s">
        <v>51</v>
      </c>
      <c r="S8" s="13">
        <v>3</v>
      </c>
      <c r="T8" s="13" t="s">
        <v>49</v>
      </c>
    </row>
    <row r="9" spans="1:20" x14ac:dyDescent="0.25">
      <c r="A9" t="s">
        <v>52</v>
      </c>
      <c r="C9" s="3">
        <f t="shared" ref="C9:E9" si="0">body_cost</f>
        <v>400</v>
      </c>
      <c r="D9" s="3">
        <f t="shared" si="0"/>
        <v>400</v>
      </c>
      <c r="E9" s="3">
        <f t="shared" si="0"/>
        <v>400</v>
      </c>
      <c r="F9" s="3">
        <f t="shared" ref="F9:P9" si="1">body_cost</f>
        <v>400</v>
      </c>
      <c r="G9" s="3">
        <f t="shared" si="1"/>
        <v>400</v>
      </c>
      <c r="H9" s="3">
        <f t="shared" si="1"/>
        <v>400</v>
      </c>
      <c r="I9" s="3">
        <f t="shared" si="1"/>
        <v>400</v>
      </c>
      <c r="J9" s="3">
        <f t="shared" si="1"/>
        <v>400</v>
      </c>
      <c r="K9" s="3">
        <f t="shared" si="1"/>
        <v>400</v>
      </c>
      <c r="L9" s="3">
        <f t="shared" si="1"/>
        <v>400</v>
      </c>
      <c r="M9" s="3">
        <f t="shared" si="1"/>
        <v>400</v>
      </c>
      <c r="N9" s="3">
        <f t="shared" si="1"/>
        <v>400</v>
      </c>
      <c r="O9" s="3">
        <f t="shared" si="1"/>
        <v>400</v>
      </c>
      <c r="P9" s="3">
        <f t="shared" si="1"/>
        <v>400</v>
      </c>
      <c r="R9" s="13" t="s">
        <v>53</v>
      </c>
      <c r="S9" s="13">
        <v>400</v>
      </c>
      <c r="T9" s="253" t="s">
        <v>44</v>
      </c>
    </row>
    <row r="10" spans="1:20" x14ac:dyDescent="0.25">
      <c r="A10" t="s">
        <v>54</v>
      </c>
      <c r="C10" s="3">
        <f t="shared" ref="C10:E10" si="2">AV_cost</f>
        <v>100</v>
      </c>
      <c r="D10" s="3">
        <f t="shared" si="2"/>
        <v>100</v>
      </c>
      <c r="E10" s="3">
        <f t="shared" si="2"/>
        <v>100</v>
      </c>
      <c r="F10" s="3">
        <f t="shared" ref="F10:P10" si="3">AV_cost</f>
        <v>100</v>
      </c>
      <c r="G10" s="3">
        <f t="shared" si="3"/>
        <v>100</v>
      </c>
      <c r="H10" s="3">
        <f t="shared" si="3"/>
        <v>100</v>
      </c>
      <c r="I10" s="3">
        <f t="shared" si="3"/>
        <v>100</v>
      </c>
      <c r="J10" s="3">
        <f t="shared" si="3"/>
        <v>100</v>
      </c>
      <c r="K10" s="3">
        <f t="shared" si="3"/>
        <v>100</v>
      </c>
      <c r="L10" s="3">
        <f t="shared" si="3"/>
        <v>100</v>
      </c>
      <c r="M10" s="3">
        <f t="shared" si="3"/>
        <v>100</v>
      </c>
      <c r="N10" s="3">
        <f t="shared" si="3"/>
        <v>100</v>
      </c>
      <c r="O10" s="3">
        <f t="shared" si="3"/>
        <v>100</v>
      </c>
      <c r="P10" s="3">
        <f t="shared" si="3"/>
        <v>100</v>
      </c>
      <c r="R10" s="13" t="s">
        <v>55</v>
      </c>
      <c r="S10" s="13">
        <v>100</v>
      </c>
      <c r="T10" s="253" t="s">
        <v>44</v>
      </c>
    </row>
    <row r="11" spans="1:20" x14ac:dyDescent="0.25">
      <c r="A11" t="s">
        <v>56</v>
      </c>
      <c r="B11" t="s">
        <v>10</v>
      </c>
      <c r="C11" s="3">
        <f t="shared" ref="C11:E11" si="4">alum_cost*alum_weight</f>
        <v>280</v>
      </c>
      <c r="D11" s="3">
        <f t="shared" si="4"/>
        <v>280</v>
      </c>
      <c r="E11" s="3">
        <f t="shared" si="4"/>
        <v>280</v>
      </c>
      <c r="F11" s="3">
        <f t="shared" ref="F11:P11" si="5">alum_cost*alum_weight</f>
        <v>280</v>
      </c>
      <c r="G11" s="3">
        <f t="shared" si="5"/>
        <v>280</v>
      </c>
      <c r="H11" s="3">
        <f t="shared" si="5"/>
        <v>280</v>
      </c>
      <c r="I11" s="3">
        <f t="shared" si="5"/>
        <v>280</v>
      </c>
      <c r="J11" s="3">
        <f t="shared" si="5"/>
        <v>280</v>
      </c>
      <c r="K11" s="3">
        <f>alum_cost*(packaging!L58+packaging!L56)</f>
        <v>5920</v>
      </c>
      <c r="L11" s="3">
        <f>alum_cost*(packaging!M58+packaging!M56)</f>
        <v>5920</v>
      </c>
      <c r="M11" s="3">
        <f t="shared" si="5"/>
        <v>280</v>
      </c>
      <c r="N11" s="3">
        <f t="shared" si="5"/>
        <v>280</v>
      </c>
      <c r="O11" s="3">
        <f t="shared" si="5"/>
        <v>280</v>
      </c>
      <c r="P11" s="3">
        <f t="shared" si="5"/>
        <v>280</v>
      </c>
      <c r="R11" s="13" t="s">
        <v>57</v>
      </c>
      <c r="S11" s="13">
        <v>8</v>
      </c>
      <c r="T11" s="13" t="s">
        <v>58</v>
      </c>
    </row>
    <row r="12" spans="1:20" x14ac:dyDescent="0.25">
      <c r="A12" t="s">
        <v>59</v>
      </c>
      <c r="B12" t="s">
        <v>10</v>
      </c>
      <c r="C12" s="3">
        <f t="shared" ref="C12:E12" si="6">plastic_cost*plast_weight</f>
        <v>120</v>
      </c>
      <c r="D12" s="3">
        <f t="shared" si="6"/>
        <v>120</v>
      </c>
      <c r="E12" s="3">
        <f t="shared" si="6"/>
        <v>120</v>
      </c>
      <c r="F12" s="3">
        <f t="shared" ref="F12:P12" si="7">plastic_cost*plast_weight</f>
        <v>120</v>
      </c>
      <c r="G12" s="3">
        <f t="shared" si="7"/>
        <v>120</v>
      </c>
      <c r="H12" s="3">
        <f t="shared" si="7"/>
        <v>120</v>
      </c>
      <c r="I12" s="3">
        <f t="shared" si="7"/>
        <v>120</v>
      </c>
      <c r="J12" s="3">
        <f t="shared" si="7"/>
        <v>120</v>
      </c>
      <c r="K12" s="3">
        <f>plastic_cost*packaging!L59/2</f>
        <v>560</v>
      </c>
      <c r="L12" s="3">
        <f>plastic_cost*packaging!M59/2</f>
        <v>560</v>
      </c>
      <c r="M12" s="3">
        <f t="shared" si="7"/>
        <v>120</v>
      </c>
      <c r="N12" s="3">
        <f t="shared" si="7"/>
        <v>120</v>
      </c>
      <c r="O12" s="3">
        <f t="shared" si="7"/>
        <v>120</v>
      </c>
      <c r="P12" s="3">
        <f t="shared" si="7"/>
        <v>120</v>
      </c>
      <c r="R12" s="13" t="s">
        <v>60</v>
      </c>
      <c r="S12" s="13">
        <v>4</v>
      </c>
      <c r="T12" s="13" t="s">
        <v>58</v>
      </c>
    </row>
    <row r="13" spans="1:20" x14ac:dyDescent="0.25">
      <c r="A13" t="s">
        <v>61</v>
      </c>
      <c r="C13" s="3">
        <f t="shared" ref="C13:E13" si="8">assembly_cost</f>
        <v>150</v>
      </c>
      <c r="D13" s="3">
        <f t="shared" si="8"/>
        <v>150</v>
      </c>
      <c r="E13" s="3">
        <f t="shared" si="8"/>
        <v>150</v>
      </c>
      <c r="F13" s="3">
        <f t="shared" ref="F13:P13" si="9">assembly_cost</f>
        <v>150</v>
      </c>
      <c r="G13" s="3">
        <f t="shared" si="9"/>
        <v>150</v>
      </c>
      <c r="H13" s="3">
        <f t="shared" si="9"/>
        <v>150</v>
      </c>
      <c r="I13" s="3">
        <f t="shared" si="9"/>
        <v>150</v>
      </c>
      <c r="J13" s="3">
        <f t="shared" si="9"/>
        <v>150</v>
      </c>
      <c r="K13" s="3">
        <f t="shared" si="9"/>
        <v>150</v>
      </c>
      <c r="L13" s="3">
        <f t="shared" si="9"/>
        <v>150</v>
      </c>
      <c r="M13" s="3">
        <f t="shared" si="9"/>
        <v>150</v>
      </c>
      <c r="N13" s="3">
        <f t="shared" si="9"/>
        <v>150</v>
      </c>
      <c r="O13" s="3">
        <f t="shared" si="9"/>
        <v>150</v>
      </c>
      <c r="P13" s="3">
        <f t="shared" si="9"/>
        <v>150</v>
      </c>
      <c r="R13" s="13" t="s">
        <v>62</v>
      </c>
      <c r="S13" s="13">
        <v>150</v>
      </c>
      <c r="T13" s="253" t="s">
        <v>44</v>
      </c>
    </row>
    <row r="14" spans="1:20" ht="17.25" customHeight="1" x14ac:dyDescent="0.25">
      <c r="A14" t="s">
        <v>63</v>
      </c>
      <c r="B14" s="46" t="s">
        <v>44</v>
      </c>
      <c r="C14" s="8">
        <f t="shared" ref="C14" si="10">SUM(C6:C13)</f>
        <v>1451.2222222222222</v>
      </c>
      <c r="D14" s="8">
        <f t="shared" ref="D14:E14" si="11">SUM(D6:D13)</f>
        <v>1806</v>
      </c>
      <c r="E14" s="8">
        <f t="shared" si="11"/>
        <v>1722.9444444444443</v>
      </c>
      <c r="F14" s="8">
        <f>SUM(F6:F13)</f>
        <v>2284.79</v>
      </c>
      <c r="G14" s="8">
        <f t="shared" ref="G14:J14" si="12">SUM(G6:G13)</f>
        <v>3288.8666666666663</v>
      </c>
      <c r="H14" s="8">
        <f>SUM(H6:H13)</f>
        <v>1880.5555555555557</v>
      </c>
      <c r="I14" s="8">
        <f t="shared" si="12"/>
        <v>2568.1999999999998</v>
      </c>
      <c r="J14" s="8">
        <f t="shared" si="12"/>
        <v>3811.6666666666665</v>
      </c>
      <c r="K14" s="8">
        <f>SUM(K6:K13)</f>
        <v>10390</v>
      </c>
      <c r="L14" s="8">
        <f t="shared" ref="L14" si="13">SUM(L6:L13)</f>
        <v>11568.888888888889</v>
      </c>
      <c r="M14" s="8">
        <f t="shared" ref="M14:O14" si="14">SUM(M6:M13)</f>
        <v>1729</v>
      </c>
      <c r="N14" s="8">
        <f t="shared" si="14"/>
        <v>1952.4444444444443</v>
      </c>
      <c r="O14" s="8">
        <f t="shared" si="14"/>
        <v>1877</v>
      </c>
      <c r="P14" s="8">
        <f t="shared" ref="P14" si="15">SUM(P6:P13)</f>
        <v>2186.7777777777778</v>
      </c>
      <c r="R14" s="13"/>
      <c r="S14" s="13"/>
      <c r="T14" s="13"/>
    </row>
    <row r="15" spans="1:20" x14ac:dyDescent="0.25">
      <c r="A15" t="s">
        <v>64</v>
      </c>
      <c r="C15" s="89" t="str">
        <f>'use case data'!D21</f>
        <v>3W low V1</v>
      </c>
      <c r="D15" s="89" t="str">
        <f>'use case data'!E21</f>
        <v>3W medium V1</v>
      </c>
      <c r="E15" s="89" t="str">
        <f>'use case data'!F21</f>
        <v>3W low V1</v>
      </c>
      <c r="F15" s="89" t="str">
        <f>'use case data'!G21</f>
        <v>3W medium V2</v>
      </c>
      <c r="G15" s="89" t="str">
        <f>'use case data'!H21</f>
        <v>3W high V2</v>
      </c>
      <c r="H15" s="89" t="str">
        <f>'use case data'!I21</f>
        <v>3W low V3</v>
      </c>
      <c r="I15" s="89" t="str">
        <f>'use case data'!J21</f>
        <v>3W medium V3</v>
      </c>
      <c r="J15" s="89" t="str">
        <f>'use case data'!K21</f>
        <v>3W high V3</v>
      </c>
      <c r="K15" s="89" t="str">
        <f>'use case data'!M21</f>
        <v>4wheel mid-mile</v>
      </c>
      <c r="L15" s="89" t="str">
        <f>'use case data'!N21</f>
        <v>4wheel metro</v>
      </c>
      <c r="M15" s="89" t="str">
        <f>'use case data'!O21</f>
        <v>3W midmile V2</v>
      </c>
      <c r="N15" s="89" t="str">
        <f>'use case data'!P21</f>
        <v>3W metro V2</v>
      </c>
      <c r="O15" s="89" t="str">
        <f>'use case data'!Q21</f>
        <v>3W midmile V3</v>
      </c>
      <c r="P15" s="89" t="str">
        <f>'use case data'!R21</f>
        <v>3W metro V3</v>
      </c>
      <c r="R15" s="13"/>
      <c r="S15" s="13"/>
      <c r="T15" s="13"/>
    </row>
    <row r="16" spans="1:20" x14ac:dyDescent="0.25">
      <c r="A16" s="66" t="s">
        <v>65</v>
      </c>
      <c r="B16" s="67" t="s">
        <v>44</v>
      </c>
      <c r="C16" s="68">
        <f>C14*margin</f>
        <v>2321.9555555555557</v>
      </c>
      <c r="D16" s="68">
        <f t="shared" ref="D16:E16" si="16">D14*margin</f>
        <v>2889.6000000000004</v>
      </c>
      <c r="E16" s="68">
        <f t="shared" si="16"/>
        <v>2756.7111111111112</v>
      </c>
      <c r="F16" s="68">
        <f>F14*margin</f>
        <v>3655.6640000000002</v>
      </c>
      <c r="G16" s="68">
        <f>G14*margin</f>
        <v>5262.1866666666665</v>
      </c>
      <c r="H16" s="68">
        <f>H14*margin</f>
        <v>3008.8888888888891</v>
      </c>
      <c r="I16" s="68">
        <f>I14*margin</f>
        <v>4109.12</v>
      </c>
      <c r="J16" s="68">
        <f t="shared" ref="J16" si="17">J14*margin</f>
        <v>6098.666666666667</v>
      </c>
      <c r="K16" s="68">
        <f>K14*margin</f>
        <v>16624</v>
      </c>
      <c r="L16" s="68">
        <f>L14*margin</f>
        <v>18510.222222222223</v>
      </c>
      <c r="M16" s="68">
        <f t="shared" ref="M16:O16" si="18">M14*margin</f>
        <v>2766.4</v>
      </c>
      <c r="N16" s="68">
        <f>N14*margin</f>
        <v>3123.911111111111</v>
      </c>
      <c r="O16" s="68">
        <f t="shared" si="18"/>
        <v>3003.2000000000003</v>
      </c>
      <c r="P16" s="68">
        <f t="shared" ref="P16" si="19">P14*margin</f>
        <v>3498.8444444444449</v>
      </c>
      <c r="R16" s="252" t="s">
        <v>66</v>
      </c>
      <c r="S16" s="254">
        <v>1.6</v>
      </c>
      <c r="T16" s="13"/>
    </row>
    <row r="17" spans="1:20" x14ac:dyDescent="0.25">
      <c r="A17" t="s">
        <v>67</v>
      </c>
      <c r="B17" s="47" t="s">
        <v>44</v>
      </c>
      <c r="C17" s="64">
        <f t="shared" ref="C17:E17" si="20">C16*res_value</f>
        <v>232.19555555555559</v>
      </c>
      <c r="D17" s="64">
        <f t="shared" si="20"/>
        <v>288.96000000000004</v>
      </c>
      <c r="E17" s="64">
        <f t="shared" si="20"/>
        <v>275.67111111111114</v>
      </c>
      <c r="F17" s="64">
        <f t="shared" ref="F17:J17" si="21">F16*res_value</f>
        <v>365.56640000000004</v>
      </c>
      <c r="G17" s="64">
        <f t="shared" si="21"/>
        <v>526.21866666666665</v>
      </c>
      <c r="H17" s="64">
        <f t="shared" ref="H17" si="22">H16*res_value</f>
        <v>300.88888888888891</v>
      </c>
      <c r="I17" s="64">
        <f t="shared" si="21"/>
        <v>410.91200000000003</v>
      </c>
      <c r="J17" s="64">
        <f t="shared" si="21"/>
        <v>609.86666666666667</v>
      </c>
      <c r="K17" s="64">
        <f>K16*res_value</f>
        <v>1662.4</v>
      </c>
      <c r="L17" s="64">
        <f t="shared" ref="L17" si="23">L16*res_value</f>
        <v>1851.0222222222224</v>
      </c>
      <c r="M17" s="64">
        <f t="shared" ref="M17:O17" si="24">M16*res_value</f>
        <v>276.64000000000004</v>
      </c>
      <c r="N17" s="64">
        <f t="shared" si="24"/>
        <v>312.39111111111112</v>
      </c>
      <c r="O17" s="64">
        <f t="shared" si="24"/>
        <v>300.32000000000005</v>
      </c>
      <c r="P17" s="64">
        <f t="shared" ref="P17" si="25">P16*res_value</f>
        <v>349.88444444444451</v>
      </c>
      <c r="R17" s="252" t="s">
        <v>68</v>
      </c>
      <c r="S17" s="93">
        <v>0.1</v>
      </c>
      <c r="T17" s="13"/>
    </row>
    <row r="18" spans="1:20" x14ac:dyDescent="0.25">
      <c r="A18" s="66" t="s">
        <v>69</v>
      </c>
      <c r="B18" s="67" t="s">
        <v>44</v>
      </c>
      <c r="C18" s="68">
        <f t="shared" ref="C18:E18" si="26">(C16-C17)/end_of_life</f>
        <v>298.5371428571429</v>
      </c>
      <c r="D18" s="68">
        <f t="shared" si="26"/>
        <v>371.52000000000004</v>
      </c>
      <c r="E18" s="68">
        <f t="shared" si="26"/>
        <v>354.43428571428569</v>
      </c>
      <c r="F18" s="68">
        <f>(F16-F17)/end_of_life</f>
        <v>470.01394285714287</v>
      </c>
      <c r="G18" s="68">
        <f>(G16-G17)/end_of_life</f>
        <v>676.56685714285709</v>
      </c>
      <c r="H18" s="68">
        <f t="shared" ref="H18" si="27">(H16-H17)/end_of_life</f>
        <v>386.85714285714283</v>
      </c>
      <c r="I18" s="68">
        <f t="shared" ref="I18:J18" si="28">(I16-I17)/end_of_life</f>
        <v>528.31542857142847</v>
      </c>
      <c r="J18" s="68">
        <f t="shared" si="28"/>
        <v>784.11428571428576</v>
      </c>
      <c r="K18" s="68">
        <f>(K16-K17)/end_of_life</f>
        <v>2137.3714285714286</v>
      </c>
      <c r="L18" s="68">
        <f>(L16-L17)/end_of_life</f>
        <v>2379.8857142857146</v>
      </c>
      <c r="M18" s="68">
        <f t="shared" ref="M18:O18" si="29">(M16-M17)/end_of_life</f>
        <v>355.68</v>
      </c>
      <c r="N18" s="68">
        <f t="shared" si="29"/>
        <v>401.64571428571429</v>
      </c>
      <c r="O18" s="68">
        <f t="shared" si="29"/>
        <v>386.12571428571431</v>
      </c>
      <c r="P18" s="68">
        <f t="shared" ref="P18" si="30">(P16-P17)/end_of_life</f>
        <v>449.85142857142864</v>
      </c>
      <c r="R18" s="13" t="s">
        <v>70</v>
      </c>
      <c r="S18" s="13">
        <v>7</v>
      </c>
      <c r="T18" s="13" t="s">
        <v>71</v>
      </c>
    </row>
    <row r="19" spans="1:20" x14ac:dyDescent="0.25">
      <c r="A19" t="s">
        <v>72</v>
      </c>
      <c r="B19" t="s">
        <v>5</v>
      </c>
      <c r="C19" s="3">
        <f>'use case data'!D19*annual_days</f>
        <v>30000</v>
      </c>
      <c r="D19" s="3">
        <f>'use case data'!E19*annual_days</f>
        <v>54000</v>
      </c>
      <c r="E19" s="3">
        <f>'use case data'!F19*annual_days</f>
        <v>30000</v>
      </c>
      <c r="F19" s="3">
        <f>'use case data'!G19*annual_days</f>
        <v>54000</v>
      </c>
      <c r="G19" s="3">
        <f>'use case data'!H19*annual_days</f>
        <v>75000</v>
      </c>
      <c r="H19" s="3">
        <f>'use case data'!I19*annual_days</f>
        <v>30000</v>
      </c>
      <c r="I19" s="3">
        <f>'use case data'!J19*annual_days</f>
        <v>54000</v>
      </c>
      <c r="J19" s="3">
        <f>'use case data'!K19*annual_days</f>
        <v>75000</v>
      </c>
      <c r="K19" s="3">
        <f>'use case data'!M19*annual_days</f>
        <v>54000</v>
      </c>
      <c r="L19" s="3">
        <f>'use case data'!N19*annual_days</f>
        <v>75000</v>
      </c>
      <c r="M19" s="3">
        <f>'use case data'!O19*annual_days</f>
        <v>54000</v>
      </c>
      <c r="N19" s="3">
        <f>'use case data'!P19*annual_days</f>
        <v>75000</v>
      </c>
      <c r="O19" s="3">
        <f>'use case data'!Q19*annual_days</f>
        <v>54000</v>
      </c>
      <c r="P19" s="3">
        <f>'use case data'!R19*annual_days</f>
        <v>75000</v>
      </c>
      <c r="R19" s="255" t="s">
        <v>73</v>
      </c>
      <c r="S19" s="13">
        <v>300</v>
      </c>
      <c r="T19" s="13"/>
    </row>
    <row r="20" spans="1:20" x14ac:dyDescent="0.25">
      <c r="A20" s="5" t="s">
        <v>74</v>
      </c>
      <c r="B20" s="67" t="s">
        <v>75</v>
      </c>
      <c r="C20" s="65">
        <f t="shared" ref="C20:E20" si="31">(C16-C17)/C19</f>
        <v>6.9658666666666674E-2</v>
      </c>
      <c r="D20" s="65">
        <f t="shared" si="31"/>
        <v>4.8160000000000008E-2</v>
      </c>
      <c r="E20" s="65">
        <f t="shared" si="31"/>
        <v>8.2701333333333335E-2</v>
      </c>
      <c r="F20" s="65">
        <f t="shared" ref="F20:J20" si="32">(F16-F17)/F19</f>
        <v>6.0927733333333331E-2</v>
      </c>
      <c r="G20" s="65">
        <f t="shared" si="32"/>
        <v>6.3146239999999992E-2</v>
      </c>
      <c r="H20" s="65">
        <f t="shared" ref="H20" si="33">(H16-H17)/H19</f>
        <v>9.0266666666666662E-2</v>
      </c>
      <c r="I20" s="65">
        <f t="shared" si="32"/>
        <v>6.8485333333333329E-2</v>
      </c>
      <c r="J20" s="65">
        <f t="shared" si="32"/>
        <v>7.3183999999999999E-2</v>
      </c>
      <c r="K20" s="65">
        <f>(K16-K17)/K19</f>
        <v>0.27706666666666668</v>
      </c>
      <c r="L20" s="65">
        <f>(L16-L17)/L19</f>
        <v>0.22212266666666666</v>
      </c>
      <c r="M20" s="65">
        <f t="shared" ref="M20:O20" si="34">(M16-M17)/M19</f>
        <v>4.6106666666666671E-2</v>
      </c>
      <c r="N20" s="65">
        <f t="shared" si="34"/>
        <v>3.7486933333333333E-2</v>
      </c>
      <c r="O20" s="65">
        <f t="shared" si="34"/>
        <v>5.0053333333333339E-2</v>
      </c>
      <c r="P20" s="65">
        <f t="shared" ref="P20" si="35">(P16-P17)/P19</f>
        <v>4.1986133333333342E-2</v>
      </c>
      <c r="R20" s="255" t="s">
        <v>76</v>
      </c>
      <c r="S20" s="13"/>
      <c r="T20" s="13"/>
    </row>
    <row r="21" spans="1:20" x14ac:dyDescent="0.25">
      <c r="R21" s="13"/>
      <c r="S21" s="13"/>
      <c r="T21" s="13"/>
    </row>
    <row r="22" spans="1:20" x14ac:dyDescent="0.25">
      <c r="A22" t="s">
        <v>24</v>
      </c>
      <c r="B22" t="s">
        <v>77</v>
      </c>
      <c r="C22" s="4">
        <f>packaging!C34</f>
        <v>32.6</v>
      </c>
      <c r="D22" s="4">
        <f>packaging!D34</f>
        <v>33.9</v>
      </c>
      <c r="E22" s="4">
        <f>packaging!E34</f>
        <v>53.545000000000002</v>
      </c>
      <c r="F22" s="4">
        <f>packaging!F34</f>
        <v>55.889499999999998</v>
      </c>
      <c r="G22" s="4">
        <f>packaging!G34</f>
        <v>74.983199999999997</v>
      </c>
      <c r="H22" s="4">
        <f>packaging!H34</f>
        <v>60.71</v>
      </c>
      <c r="I22" s="4">
        <f>packaging!I34</f>
        <v>68.11</v>
      </c>
      <c r="J22" s="4">
        <f>packaging!J34</f>
        <v>92.4</v>
      </c>
      <c r="K22" s="4">
        <f>packaging!L34</f>
        <v>98</v>
      </c>
      <c r="L22" s="4">
        <f>packaging!M34</f>
        <v>113</v>
      </c>
      <c r="M22" s="4">
        <f>packaging!O34</f>
        <v>24.2</v>
      </c>
      <c r="N22" s="4">
        <f>packaging!P34</f>
        <v>25</v>
      </c>
      <c r="O22" s="4">
        <f>packaging!Q34</f>
        <v>30.3</v>
      </c>
      <c r="P22" s="4">
        <f>packaging!R34</f>
        <v>32.5</v>
      </c>
      <c r="R22" s="252" t="s">
        <v>78</v>
      </c>
      <c r="S22" s="13"/>
      <c r="T22" s="13"/>
    </row>
    <row r="23" spans="1:20" x14ac:dyDescent="0.25">
      <c r="A23" s="66" t="s">
        <v>79</v>
      </c>
      <c r="B23" s="67" t="s">
        <v>44</v>
      </c>
      <c r="C23" s="5">
        <f>E_Cost*TCO!C19*C22/1000</f>
        <v>195.6</v>
      </c>
      <c r="D23" s="5">
        <f>E_Cost*TCO!D19*D22/1000</f>
        <v>366.12</v>
      </c>
      <c r="E23" s="5">
        <f>E_Cost*TCO!E19*E22/1000</f>
        <v>321.27</v>
      </c>
      <c r="F23" s="5">
        <f>E_Cost*TCO!F19*F22/1000</f>
        <v>603.60659999999996</v>
      </c>
      <c r="G23" s="5">
        <f>E_Cost*TCO!G19*G22/1000</f>
        <v>1124.748</v>
      </c>
      <c r="H23" s="5">
        <f>E_Cost*TCO!H19*H22/1000</f>
        <v>364.26</v>
      </c>
      <c r="I23" s="5">
        <f>E_Cost*TCO!I19*I22/1000</f>
        <v>735.58799999999997</v>
      </c>
      <c r="J23" s="5">
        <f>E_Cost*TCO!J19*J22/1000</f>
        <v>1386</v>
      </c>
      <c r="K23" s="5">
        <f>E_Cost*TCO!K19*K22/1000</f>
        <v>1058.4000000000001</v>
      </c>
      <c r="L23" s="5">
        <f>E_Cost*TCO!L19*L22/1000</f>
        <v>1695</v>
      </c>
      <c r="M23" s="5">
        <f>E_Cost*TCO!M19*M22/1000</f>
        <v>261.36</v>
      </c>
      <c r="N23" s="5">
        <f>E_Cost*TCO!N19*N22/1000</f>
        <v>375</v>
      </c>
      <c r="O23" s="5">
        <f>E_Cost*TCO!O19*O22/1000</f>
        <v>327.24</v>
      </c>
      <c r="P23" s="5">
        <f>E_Cost*TCO!P19*P22/1000</f>
        <v>487.5</v>
      </c>
      <c r="R23" s="13" t="s">
        <v>80</v>
      </c>
      <c r="S23" s="13"/>
      <c r="T23" s="13"/>
    </row>
    <row r="24" spans="1:20" x14ac:dyDescent="0.25">
      <c r="A24" s="5" t="s">
        <v>81</v>
      </c>
      <c r="B24" s="67" t="s">
        <v>75</v>
      </c>
      <c r="C24" s="69">
        <f t="shared" ref="C24:E24" si="36">C22*E_Cost/1000</f>
        <v>6.5200000000000006E-3</v>
      </c>
      <c r="D24" s="69">
        <f t="shared" si="36"/>
        <v>6.7800000000000004E-3</v>
      </c>
      <c r="E24" s="69">
        <f t="shared" si="36"/>
        <v>1.0709000000000002E-2</v>
      </c>
      <c r="F24" s="69">
        <f>F22*E_Cost/1000</f>
        <v>1.1177900000000001E-2</v>
      </c>
      <c r="G24" s="69">
        <f t="shared" ref="G24:J24" si="37">G22*E_Cost/1000</f>
        <v>1.4996639999999999E-2</v>
      </c>
      <c r="H24" s="69">
        <f t="shared" ref="H24" si="38">H22*E_Cost/1000</f>
        <v>1.2142000000000002E-2</v>
      </c>
      <c r="I24" s="69">
        <f t="shared" si="37"/>
        <v>1.3622E-2</v>
      </c>
      <c r="J24" s="69">
        <f t="shared" si="37"/>
        <v>1.848E-2</v>
      </c>
      <c r="K24" s="69">
        <f>K22*E_Cost/1000</f>
        <v>1.9600000000000003E-2</v>
      </c>
      <c r="L24" s="69">
        <f t="shared" ref="L24" si="39">L22*E_Cost/1000</f>
        <v>2.2600000000000002E-2</v>
      </c>
      <c r="M24" s="69">
        <f t="shared" ref="M24:O24" si="40">M22*E_Cost/1000</f>
        <v>4.8399999999999997E-3</v>
      </c>
      <c r="N24" s="69">
        <f>N22*E_Cost/1000</f>
        <v>5.0000000000000001E-3</v>
      </c>
      <c r="O24" s="69">
        <f t="shared" si="40"/>
        <v>6.0600000000000003E-3</v>
      </c>
      <c r="P24" s="69">
        <f t="shared" ref="P24" si="41">P22*E_Cost/1000</f>
        <v>6.4999999999999997E-3</v>
      </c>
      <c r="R24" s="13" t="s">
        <v>82</v>
      </c>
      <c r="S24" s="93">
        <v>0.05</v>
      </c>
      <c r="T24" s="13"/>
    </row>
    <row r="25" spans="1:20" ht="15.75" thickBot="1" x14ac:dyDescent="0.3">
      <c r="R25" s="13" t="s">
        <v>83</v>
      </c>
      <c r="S25" s="13">
        <v>0.2</v>
      </c>
      <c r="T25" s="13" t="s">
        <v>46</v>
      </c>
    </row>
    <row r="26" spans="1:20" ht="15.75" thickBot="1" x14ac:dyDescent="0.3">
      <c r="A26" s="48" t="s">
        <v>84</v>
      </c>
      <c r="B26" s="54" t="s">
        <v>23</v>
      </c>
      <c r="C26" s="53">
        <f t="shared" ref="C26:E26" si="42">(C18+C23)*(1+serv_relat_cost)</f>
        <v>518.84400000000005</v>
      </c>
      <c r="D26" s="53">
        <f t="shared" si="42"/>
        <v>774.52200000000016</v>
      </c>
      <c r="E26" s="53">
        <f t="shared" si="42"/>
        <v>709.48950000000002</v>
      </c>
      <c r="F26" s="53">
        <f t="shared" ref="F26:P26" si="43">(F18+F23)*(1+serv_relat_cost)</f>
        <v>1127.3015700000001</v>
      </c>
      <c r="G26" s="53">
        <f>(G18+G23)*(1+serv_relat_cost)</f>
        <v>1891.3806000000002</v>
      </c>
      <c r="H26" s="53">
        <f t="shared" ref="H26" si="44">(H18+H23)*(1+serv_relat_cost)</f>
        <v>788.673</v>
      </c>
      <c r="I26" s="53">
        <f t="shared" si="43"/>
        <v>1327.0985999999998</v>
      </c>
      <c r="J26" s="53">
        <f t="shared" si="43"/>
        <v>2278.6200000000003</v>
      </c>
      <c r="K26" s="53">
        <f t="shared" si="43"/>
        <v>3355.5600000000004</v>
      </c>
      <c r="L26" s="53">
        <f t="shared" si="43"/>
        <v>4278.63</v>
      </c>
      <c r="M26" s="53">
        <f t="shared" si="43"/>
        <v>647.89199999999994</v>
      </c>
      <c r="N26" s="53">
        <f t="shared" si="43"/>
        <v>815.47800000000007</v>
      </c>
      <c r="O26" s="53">
        <f t="shared" si="43"/>
        <v>749.03400000000011</v>
      </c>
      <c r="P26" s="53">
        <f t="shared" si="43"/>
        <v>984.21900000000016</v>
      </c>
      <c r="R26" s="13"/>
      <c r="S26" s="13"/>
      <c r="T26" s="13"/>
    </row>
    <row r="27" spans="1:20" ht="15.75" thickBot="1" x14ac:dyDescent="0.3">
      <c r="A27" t="s">
        <v>85</v>
      </c>
      <c r="B27" t="s">
        <v>10</v>
      </c>
      <c r="C27" s="26">
        <f t="shared" ref="C27:E27" si="45">C5*cargo_SW*ave_cargo</f>
        <v>45.706436125641609</v>
      </c>
      <c r="D27" s="26">
        <f t="shared" si="45"/>
        <v>45.706436125641609</v>
      </c>
      <c r="E27" s="26">
        <f t="shared" si="45"/>
        <v>91.412872251283218</v>
      </c>
      <c r="F27" s="26">
        <f>F5*cargo_SW*ave_cargo</f>
        <v>91.412872251283218</v>
      </c>
      <c r="G27" s="26">
        <f t="shared" ref="G27:J27" si="46">G5*cargo_SW*ave_cargo</f>
        <v>91.412872251283218</v>
      </c>
      <c r="H27" s="26">
        <f t="shared" ref="H27" si="47">H5*cargo_SW*ave_cargo</f>
        <v>137.11930837692483</v>
      </c>
      <c r="I27" s="26">
        <f t="shared" si="46"/>
        <v>137.11930837692483</v>
      </c>
      <c r="J27" s="26">
        <f t="shared" si="46"/>
        <v>137.11930837692483</v>
      </c>
      <c r="K27" s="26">
        <f>K5*cargo_SW*ave_cargo</f>
        <v>137.11930837692483</v>
      </c>
      <c r="L27" s="26">
        <f>L5*cargo_SW*ave_cargo/metropole_weight_factor</f>
        <v>86.784372390458756</v>
      </c>
      <c r="M27" s="26">
        <f>M5*cargo_SW*ave_cargo</f>
        <v>91.412872251283218</v>
      </c>
      <c r="N27" s="26">
        <f>N5*cargo_SW*ave_cargo</f>
        <v>91.412872251283218</v>
      </c>
      <c r="O27" s="26">
        <f>O5*cargo_SW*ave_cargo</f>
        <v>137.11930837692483</v>
      </c>
      <c r="P27" s="26">
        <f>P5*cargo_SW*ave_cargo</f>
        <v>137.11930837692483</v>
      </c>
      <c r="R27" s="13" t="s">
        <v>86</v>
      </c>
      <c r="S27" s="13"/>
      <c r="T27" s="13"/>
    </row>
    <row r="28" spans="1:20" ht="15.75" thickBot="1" x14ac:dyDescent="0.3">
      <c r="A28" s="52" t="s">
        <v>87</v>
      </c>
      <c r="B28" s="71" t="s">
        <v>88</v>
      </c>
      <c r="C28" s="70">
        <f t="shared" ref="C28:E28" si="48">C26/C27/C19</f>
        <v>3.783887230336365E-4</v>
      </c>
      <c r="D28" s="70">
        <f t="shared" si="48"/>
        <v>3.1380700872351511E-4</v>
      </c>
      <c r="E28" s="70">
        <f t="shared" si="48"/>
        <v>2.5871247032901339E-4</v>
      </c>
      <c r="F28" s="70">
        <f>F26/F27/F19</f>
        <v>2.2836997116351906E-4</v>
      </c>
      <c r="G28" s="70">
        <f t="shared" ref="G28:P28" si="49">G26/G27/G19</f>
        <v>2.7587370770582037E-4</v>
      </c>
      <c r="H28" s="70">
        <f t="shared" ref="H28" si="50">H26/H27/H19</f>
        <v>1.9172427509431682E-4</v>
      </c>
      <c r="I28" s="70">
        <f t="shared" si="49"/>
        <v>1.7923004638007464E-4</v>
      </c>
      <c r="J28" s="70">
        <f t="shared" si="49"/>
        <v>2.2157054582338295E-4</v>
      </c>
      <c r="K28" s="70">
        <f>K26/K27/K19</f>
        <v>4.5318198243229511E-4</v>
      </c>
      <c r="L28" s="70">
        <f t="shared" si="49"/>
        <v>6.5735798310931858E-4</v>
      </c>
      <c r="M28" s="70">
        <f t="shared" si="49"/>
        <v>1.3125066201857119E-4</v>
      </c>
      <c r="N28" s="70">
        <f t="shared" si="49"/>
        <v>1.1894429889601646E-4</v>
      </c>
      <c r="O28" s="70">
        <f t="shared" si="49"/>
        <v>1.0116007850528429E-4</v>
      </c>
      <c r="P28" s="70">
        <f t="shared" si="49"/>
        <v>9.5704391710660033E-5</v>
      </c>
    </row>
    <row r="29" spans="1:20" x14ac:dyDescent="0.25">
      <c r="A29" t="s">
        <v>89</v>
      </c>
    </row>
    <row r="30" spans="1:20" x14ac:dyDescent="0.25">
      <c r="A30" t="s">
        <v>90</v>
      </c>
      <c r="B30" t="s">
        <v>91</v>
      </c>
      <c r="C30" s="23">
        <f t="shared" ref="C30:G30" si="51">C23/C26</f>
        <v>0.37699192820963523</v>
      </c>
      <c r="D30" s="23">
        <f t="shared" si="51"/>
        <v>0.47270445513490894</v>
      </c>
      <c r="E30" s="23">
        <f t="shared" si="51"/>
        <v>0.45281854065493565</v>
      </c>
      <c r="F30" s="23">
        <f t="shared" si="51"/>
        <v>0.535443767722243</v>
      </c>
      <c r="G30" s="23">
        <f t="shared" si="51"/>
        <v>0.59467036935876361</v>
      </c>
      <c r="H30" s="23">
        <f t="shared" ref="H30:P30" si="52">H23/H26</f>
        <v>0.46186442289770285</v>
      </c>
      <c r="I30" s="23">
        <f t="shared" si="52"/>
        <v>0.55428285434104152</v>
      </c>
      <c r="J30" s="23">
        <f t="shared" si="52"/>
        <v>0.60826289596334615</v>
      </c>
      <c r="K30" s="23">
        <f t="shared" si="52"/>
        <v>0.31541680077244932</v>
      </c>
      <c r="L30" s="23">
        <f t="shared" si="52"/>
        <v>0.39615484395706102</v>
      </c>
      <c r="M30" s="23">
        <f t="shared" si="52"/>
        <v>0.4034005667611269</v>
      </c>
      <c r="N30" s="23">
        <f t="shared" si="52"/>
        <v>0.45985299419481579</v>
      </c>
      <c r="O30" s="23">
        <f t="shared" si="52"/>
        <v>0.43688270492394199</v>
      </c>
      <c r="P30" s="23">
        <f t="shared" si="52"/>
        <v>0.49531659112453624</v>
      </c>
    </row>
    <row r="31" spans="1:20" x14ac:dyDescent="0.25">
      <c r="A31" t="s">
        <v>92</v>
      </c>
      <c r="B31" t="s">
        <v>91</v>
      </c>
      <c r="C31" s="23">
        <f t="shared" ref="C31:G31" si="53">C18/C26</f>
        <v>0.5753890241713171</v>
      </c>
      <c r="D31" s="23">
        <f t="shared" si="53"/>
        <v>0.47967649724604333</v>
      </c>
      <c r="E31" s="23">
        <f t="shared" si="53"/>
        <v>0.49956241172601662</v>
      </c>
      <c r="F31" s="23">
        <f t="shared" si="53"/>
        <v>0.41693718465870921</v>
      </c>
      <c r="G31" s="23">
        <f t="shared" si="53"/>
        <v>0.35771058302218867</v>
      </c>
      <c r="H31" s="23">
        <f t="shared" ref="H31:N31" si="54">H18/H26</f>
        <v>0.49051652948324947</v>
      </c>
      <c r="I31" s="23">
        <f t="shared" si="54"/>
        <v>0.39809809803991092</v>
      </c>
      <c r="J31" s="23">
        <f t="shared" si="54"/>
        <v>0.34411805641760612</v>
      </c>
      <c r="K31" s="23">
        <f t="shared" si="54"/>
        <v>0.63696415160850306</v>
      </c>
      <c r="L31" s="23">
        <f t="shared" si="54"/>
        <v>0.55622610842389142</v>
      </c>
      <c r="M31" s="23">
        <f t="shared" si="54"/>
        <v>0.54898038561982554</v>
      </c>
      <c r="N31" s="23">
        <f t="shared" si="54"/>
        <v>0.49252795818613654</v>
      </c>
      <c r="O31" s="23">
        <f t="shared" ref="O31:P31" si="55">O18/O26</f>
        <v>0.51549824745701034</v>
      </c>
      <c r="P31" s="23">
        <f t="shared" si="55"/>
        <v>0.45706436125641609</v>
      </c>
    </row>
    <row r="32" spans="1:20" x14ac:dyDescent="0.25">
      <c r="A32" t="s">
        <v>93</v>
      </c>
      <c r="B32" t="s">
        <v>91</v>
      </c>
      <c r="C32" s="112">
        <f t="shared" ref="C32:P32" si="56">serv_relat_cost</f>
        <v>0.05</v>
      </c>
      <c r="D32" s="112">
        <f t="shared" si="56"/>
        <v>0.05</v>
      </c>
      <c r="E32" s="112">
        <f t="shared" si="56"/>
        <v>0.05</v>
      </c>
      <c r="F32" s="112">
        <f t="shared" si="56"/>
        <v>0.05</v>
      </c>
      <c r="G32" s="112">
        <f t="shared" si="56"/>
        <v>0.05</v>
      </c>
      <c r="H32" s="112">
        <f t="shared" si="56"/>
        <v>0.05</v>
      </c>
      <c r="I32" s="112">
        <f t="shared" si="56"/>
        <v>0.05</v>
      </c>
      <c r="J32" s="112">
        <f t="shared" si="56"/>
        <v>0.05</v>
      </c>
      <c r="K32" s="112">
        <f t="shared" si="56"/>
        <v>0.05</v>
      </c>
      <c r="L32" s="112">
        <f t="shared" si="56"/>
        <v>0.05</v>
      </c>
      <c r="M32" s="112">
        <f t="shared" si="56"/>
        <v>0.05</v>
      </c>
      <c r="N32" s="112">
        <f t="shared" si="56"/>
        <v>0.05</v>
      </c>
      <c r="O32" s="112">
        <f t="shared" si="56"/>
        <v>0.05</v>
      </c>
      <c r="P32" s="112">
        <f t="shared" si="56"/>
        <v>0.05</v>
      </c>
    </row>
    <row r="33" spans="1:16" x14ac:dyDescent="0.25">
      <c r="A33" t="s">
        <v>94</v>
      </c>
      <c r="B33" t="s">
        <v>91</v>
      </c>
      <c r="C33" s="112">
        <f>SUM(C30:C32)</f>
        <v>1.0023809523809524</v>
      </c>
      <c r="D33" s="112">
        <f t="shared" ref="D33:P33" si="57">SUM(D30:D32)</f>
        <v>1.0023809523809524</v>
      </c>
      <c r="E33" s="112">
        <f t="shared" si="57"/>
        <v>1.0023809523809524</v>
      </c>
      <c r="F33" s="112">
        <f t="shared" si="57"/>
        <v>1.0023809523809522</v>
      </c>
      <c r="G33" s="112">
        <f t="shared" si="57"/>
        <v>1.0023809523809524</v>
      </c>
      <c r="H33" s="112">
        <f t="shared" ref="H33" si="58">SUM(H30:H32)</f>
        <v>1.0023809523809524</v>
      </c>
      <c r="I33" s="112">
        <f t="shared" si="57"/>
        <v>1.0023809523809524</v>
      </c>
      <c r="J33" s="112">
        <f t="shared" si="57"/>
        <v>1.0023809523809524</v>
      </c>
      <c r="K33" s="112">
        <f t="shared" si="57"/>
        <v>1.0023809523809524</v>
      </c>
      <c r="L33" s="112">
        <f t="shared" si="57"/>
        <v>1.0023809523809524</v>
      </c>
      <c r="M33" s="112">
        <f t="shared" si="57"/>
        <v>1.0023809523809524</v>
      </c>
      <c r="N33" s="112">
        <f t="shared" si="57"/>
        <v>1.0023809523809524</v>
      </c>
      <c r="O33" s="112">
        <f t="shared" si="57"/>
        <v>1.0023809523809524</v>
      </c>
      <c r="P33" s="112">
        <f t="shared" si="57"/>
        <v>1.0023809523809524</v>
      </c>
    </row>
    <row r="35" spans="1:16" x14ac:dyDescent="0.25">
      <c r="C35" t="s">
        <v>332</v>
      </c>
      <c r="D35" s="3" t="s">
        <v>333</v>
      </c>
      <c r="E35" t="s">
        <v>331</v>
      </c>
      <c r="F35" s="3" t="s">
        <v>95</v>
      </c>
      <c r="G35" s="3" t="s">
        <v>96</v>
      </c>
      <c r="H35" t="s">
        <v>334</v>
      </c>
      <c r="I35" s="3" t="s">
        <v>97</v>
      </c>
      <c r="J35" s="3" t="s">
        <v>98</v>
      </c>
      <c r="K35" s="3" t="s">
        <v>99</v>
      </c>
      <c r="L35" s="3" t="s">
        <v>100</v>
      </c>
      <c r="M35" s="3" t="s">
        <v>95</v>
      </c>
      <c r="N35" s="3" t="s">
        <v>96</v>
      </c>
      <c r="O35" s="3" t="s">
        <v>97</v>
      </c>
      <c r="P35" s="3" t="s">
        <v>98</v>
      </c>
    </row>
  </sheetData>
  <mergeCells count="2">
    <mergeCell ref="K3:P3"/>
    <mergeCell ref="C3:J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08"/>
  <sheetViews>
    <sheetView zoomScale="85" zoomScaleNormal="85" workbookViewId="0">
      <selection activeCell="A45" sqref="A45"/>
    </sheetView>
  </sheetViews>
  <sheetFormatPr defaultRowHeight="15" x14ac:dyDescent="0.25"/>
  <cols>
    <col min="1" max="1" width="44.5703125" customWidth="1"/>
    <col min="2" max="2" width="12.140625" customWidth="1"/>
    <col min="3" max="9" width="12.7109375" customWidth="1"/>
    <col min="10" max="10" width="12.5703125" customWidth="1"/>
    <col min="11" max="11" width="1.85546875" customWidth="1"/>
    <col min="12" max="13" width="12.7109375" customWidth="1"/>
    <col min="14" max="14" width="2" customWidth="1"/>
    <col min="15" max="18" width="11.5703125" customWidth="1"/>
  </cols>
  <sheetData>
    <row r="1" spans="1:11" ht="23.25" x14ac:dyDescent="0.35">
      <c r="A1" s="215" t="s">
        <v>380</v>
      </c>
    </row>
    <row r="2" spans="1:11" ht="23.25" x14ac:dyDescent="0.35">
      <c r="A2" s="215"/>
    </row>
    <row r="3" spans="1:11" x14ac:dyDescent="0.25">
      <c r="A3" s="1" t="s">
        <v>382</v>
      </c>
      <c r="K3" s="3"/>
    </row>
    <row r="4" spans="1:11" ht="17.25" x14ac:dyDescent="0.25">
      <c r="A4" t="s">
        <v>118</v>
      </c>
      <c r="B4" s="3" t="s">
        <v>119</v>
      </c>
      <c r="C4" s="3">
        <v>100</v>
      </c>
      <c r="K4" s="27"/>
    </row>
    <row r="5" spans="1:11" x14ac:dyDescent="0.25">
      <c r="A5" t="s">
        <v>120</v>
      </c>
      <c r="B5" s="3" t="s">
        <v>121</v>
      </c>
      <c r="C5" s="3">
        <v>180</v>
      </c>
      <c r="K5" s="27"/>
    </row>
    <row r="6" spans="1:11" x14ac:dyDescent="0.25">
      <c r="A6" t="s">
        <v>122</v>
      </c>
      <c r="B6" s="3"/>
      <c r="C6" s="9">
        <v>0.9</v>
      </c>
      <c r="D6" s="26"/>
      <c r="E6" s="26"/>
      <c r="K6" s="27"/>
    </row>
    <row r="7" spans="1:11" x14ac:dyDescent="0.25">
      <c r="A7" t="s">
        <v>123</v>
      </c>
      <c r="B7" s="3" t="s">
        <v>124</v>
      </c>
      <c r="C7" s="3">
        <v>5000</v>
      </c>
      <c r="K7" s="94"/>
    </row>
    <row r="8" spans="1:11" x14ac:dyDescent="0.25">
      <c r="A8" t="s">
        <v>125</v>
      </c>
      <c r="B8" s="3" t="s">
        <v>13</v>
      </c>
      <c r="C8" s="3">
        <v>300</v>
      </c>
      <c r="K8" s="27"/>
    </row>
    <row r="9" spans="1:11" x14ac:dyDescent="0.25">
      <c r="A9" t="s">
        <v>126</v>
      </c>
      <c r="B9" s="3" t="s">
        <v>13</v>
      </c>
      <c r="C9" s="3">
        <v>75</v>
      </c>
      <c r="D9" s="27"/>
      <c r="E9" s="27"/>
    </row>
    <row r="10" spans="1:11" x14ac:dyDescent="0.25">
      <c r="A10" t="s">
        <v>127</v>
      </c>
      <c r="B10" s="3" t="s">
        <v>13</v>
      </c>
      <c r="C10" s="3">
        <v>685</v>
      </c>
      <c r="D10" s="27"/>
      <c r="E10" s="27"/>
    </row>
    <row r="11" spans="1:11" x14ac:dyDescent="0.25">
      <c r="A11" t="s">
        <v>128</v>
      </c>
      <c r="B11" s="3" t="s">
        <v>13</v>
      </c>
      <c r="C11" s="3">
        <v>-70</v>
      </c>
      <c r="F11" s="27"/>
      <c r="G11" s="27"/>
      <c r="H11" s="27"/>
      <c r="I11" s="27"/>
      <c r="J11" s="27"/>
    </row>
    <row r="12" spans="1:11" x14ac:dyDescent="0.25">
      <c r="A12" t="s">
        <v>129</v>
      </c>
      <c r="B12" s="3" t="s">
        <v>130</v>
      </c>
      <c r="C12" s="3">
        <v>72.5</v>
      </c>
      <c r="G12" s="27"/>
      <c r="H12" s="27"/>
      <c r="I12" s="27"/>
    </row>
    <row r="13" spans="1:11" x14ac:dyDescent="0.25">
      <c r="A13" t="s">
        <v>131</v>
      </c>
      <c r="B13" s="3" t="s">
        <v>132</v>
      </c>
      <c r="C13" s="3">
        <v>1.43</v>
      </c>
      <c r="G13" s="27"/>
      <c r="H13" s="27"/>
      <c r="I13" s="27"/>
    </row>
    <row r="14" spans="1:11" x14ac:dyDescent="0.25">
      <c r="A14" t="s">
        <v>133</v>
      </c>
      <c r="B14" s="3" t="s">
        <v>132</v>
      </c>
      <c r="C14" s="3">
        <v>1.58</v>
      </c>
      <c r="I14" s="27"/>
    </row>
    <row r="15" spans="1:11" x14ac:dyDescent="0.25">
      <c r="A15" t="s">
        <v>134</v>
      </c>
      <c r="B15" s="3" t="s">
        <v>13</v>
      </c>
      <c r="C15" s="3">
        <v>249</v>
      </c>
      <c r="I15" s="10"/>
      <c r="J15" s="3"/>
      <c r="K15" s="3"/>
    </row>
    <row r="16" spans="1:11" x14ac:dyDescent="0.25">
      <c r="I16" s="10"/>
      <c r="J16" s="3"/>
      <c r="K16" s="3"/>
    </row>
    <row r="17" spans="1:18" x14ac:dyDescent="0.25">
      <c r="A17" s="1" t="s">
        <v>103</v>
      </c>
      <c r="D17" s="3"/>
      <c r="E17" s="1" t="s">
        <v>381</v>
      </c>
      <c r="J17" s="3"/>
      <c r="K17" s="3"/>
    </row>
    <row r="18" spans="1:18" ht="30" customHeight="1" x14ac:dyDescent="0.25">
      <c r="A18" s="58" t="s">
        <v>106</v>
      </c>
      <c r="B18" s="59" t="s">
        <v>10</v>
      </c>
      <c r="C18" s="59">
        <v>40</v>
      </c>
      <c r="D18" s="3"/>
      <c r="E18" s="275" t="s">
        <v>37</v>
      </c>
      <c r="F18" s="276"/>
      <c r="G18" s="273" t="s">
        <v>101</v>
      </c>
      <c r="H18" s="274"/>
      <c r="I18" s="225" t="s">
        <v>102</v>
      </c>
      <c r="J18" s="3"/>
      <c r="K18" s="3"/>
    </row>
    <row r="19" spans="1:18" x14ac:dyDescent="0.25">
      <c r="A19" s="58" t="s">
        <v>107</v>
      </c>
      <c r="B19" s="59" t="s">
        <v>10</v>
      </c>
      <c r="C19" s="59">
        <v>30</v>
      </c>
      <c r="D19" s="3"/>
      <c r="E19" s="226" t="s">
        <v>104</v>
      </c>
      <c r="F19" s="226" t="s">
        <v>105</v>
      </c>
      <c r="G19" s="226" t="s">
        <v>104</v>
      </c>
      <c r="H19" s="226" t="s">
        <v>105</v>
      </c>
      <c r="I19" s="226" t="s">
        <v>104</v>
      </c>
      <c r="J19" s="3"/>
      <c r="K19" s="3"/>
    </row>
    <row r="20" spans="1:18" x14ac:dyDescent="0.25">
      <c r="A20" s="58" t="s">
        <v>110</v>
      </c>
      <c r="B20" s="59" t="s">
        <v>10</v>
      </c>
      <c r="C20" s="59">
        <v>10</v>
      </c>
      <c r="D20" s="3"/>
      <c r="E20" s="226">
        <v>700</v>
      </c>
      <c r="F20" s="226">
        <v>650</v>
      </c>
      <c r="G20" s="226">
        <v>-400</v>
      </c>
      <c r="H20" s="226">
        <v>390</v>
      </c>
      <c r="I20" s="226">
        <v>0</v>
      </c>
      <c r="J20" s="3"/>
      <c r="K20" s="3"/>
    </row>
    <row r="21" spans="1:18" x14ac:dyDescent="0.25">
      <c r="A21" s="58" t="s">
        <v>113</v>
      </c>
      <c r="B21" s="59" t="s">
        <v>10</v>
      </c>
      <c r="C21" s="59">
        <v>20</v>
      </c>
      <c r="D21" s="3"/>
      <c r="E21" s="226" t="s">
        <v>108</v>
      </c>
      <c r="F21" s="226" t="s">
        <v>109</v>
      </c>
      <c r="G21" s="226">
        <v>300</v>
      </c>
      <c r="H21" s="226">
        <v>650</v>
      </c>
      <c r="I21" s="226">
        <f>Xb/2+G21</f>
        <v>450</v>
      </c>
      <c r="J21" s="3"/>
      <c r="K21" s="3"/>
    </row>
    <row r="22" spans="1:18" ht="30" x14ac:dyDescent="0.25">
      <c r="A22" s="58" t="s">
        <v>114</v>
      </c>
      <c r="B22" s="59" t="s">
        <v>10</v>
      </c>
      <c r="C22" s="59">
        <v>20</v>
      </c>
      <c r="D22" s="3"/>
      <c r="E22" s="226">
        <v>900</v>
      </c>
      <c r="F22" s="226">
        <v>650</v>
      </c>
      <c r="G22" s="226" t="s">
        <v>111</v>
      </c>
      <c r="H22" s="226">
        <v>650</v>
      </c>
      <c r="I22" s="227" t="s">
        <v>112</v>
      </c>
      <c r="J22" s="3"/>
      <c r="K22" s="3"/>
    </row>
    <row r="23" spans="1:18" x14ac:dyDescent="0.25">
      <c r="A23" s="62" t="s">
        <v>115</v>
      </c>
      <c r="B23" s="61" t="s">
        <v>10</v>
      </c>
      <c r="C23" s="61">
        <f>SUM(C18:C22)</f>
        <v>120</v>
      </c>
      <c r="D23" s="3"/>
      <c r="E23" s="3"/>
      <c r="I23" s="10"/>
      <c r="J23" s="3"/>
      <c r="K23" s="3"/>
    </row>
    <row r="24" spans="1:18" ht="15.75" customHeight="1" x14ac:dyDescent="0.25">
      <c r="A24" s="63" t="s">
        <v>116</v>
      </c>
      <c r="D24" s="3"/>
      <c r="E24" s="3"/>
      <c r="I24" s="10"/>
      <c r="J24" s="3"/>
      <c r="K24" s="3"/>
    </row>
    <row r="25" spans="1:18" x14ac:dyDescent="0.25">
      <c r="A25" s="58" t="s">
        <v>384</v>
      </c>
      <c r="B25" s="59" t="s">
        <v>10</v>
      </c>
      <c r="C25" s="59">
        <v>35</v>
      </c>
      <c r="D25" s="3"/>
      <c r="E25" s="3"/>
      <c r="F25" s="3"/>
      <c r="G25" s="3"/>
      <c r="H25" s="10"/>
      <c r="I25" s="10"/>
      <c r="J25" s="3"/>
      <c r="K25" s="3"/>
    </row>
    <row r="26" spans="1:18" x14ac:dyDescent="0.25">
      <c r="A26" s="58" t="s">
        <v>117</v>
      </c>
      <c r="B26" s="59" t="s">
        <v>10</v>
      </c>
      <c r="C26" s="59">
        <v>30</v>
      </c>
      <c r="D26" s="3"/>
      <c r="E26" s="3"/>
      <c r="F26" s="3"/>
      <c r="G26" s="3"/>
      <c r="H26" s="10"/>
      <c r="I26" s="10"/>
      <c r="J26" s="3"/>
      <c r="K26" s="3"/>
    </row>
    <row r="27" spans="1:18" x14ac:dyDescent="0.25">
      <c r="B27" s="3"/>
      <c r="C27" s="3"/>
      <c r="D27" s="3"/>
      <c r="E27" s="3"/>
      <c r="F27" s="3"/>
      <c r="G27" s="3"/>
      <c r="H27" s="10"/>
      <c r="I27" s="10"/>
      <c r="J27" s="3"/>
      <c r="K27" s="3"/>
    </row>
    <row r="28" spans="1:18" ht="18.75" x14ac:dyDescent="0.3">
      <c r="A28" s="170" t="s">
        <v>387</v>
      </c>
      <c r="D28" s="27"/>
      <c r="E28" s="27"/>
      <c r="F28" s="27"/>
      <c r="G28" s="27"/>
      <c r="H28" s="27"/>
      <c r="I28" s="27"/>
    </row>
    <row r="29" spans="1:18" ht="15.75" x14ac:dyDescent="0.25">
      <c r="A29" s="213" t="s">
        <v>385</v>
      </c>
      <c r="B29" s="228"/>
      <c r="C29" s="229" t="str">
        <f>'use case data'!D17</f>
        <v>V1</v>
      </c>
      <c r="D29" s="245" t="str">
        <f>'use case data'!E17</f>
        <v>V1</v>
      </c>
      <c r="E29" s="229" t="str">
        <f>'use case data'!F17</f>
        <v>V2</v>
      </c>
      <c r="F29" s="229" t="str">
        <f>'use case data'!G17</f>
        <v>V2</v>
      </c>
      <c r="G29" s="245" t="str">
        <f>'use case data'!H17</f>
        <v>V2</v>
      </c>
      <c r="H29" s="229" t="str">
        <f>'use case data'!I17</f>
        <v>V3</v>
      </c>
      <c r="I29" s="229" t="str">
        <f>'use case data'!J17</f>
        <v>V3</v>
      </c>
      <c r="J29" s="245" t="str">
        <f>'use case data'!K17</f>
        <v>V3</v>
      </c>
      <c r="K29" s="230"/>
      <c r="L29" s="229" t="s">
        <v>135</v>
      </c>
      <c r="M29" s="231" t="s">
        <v>135</v>
      </c>
      <c r="N29" s="213"/>
      <c r="O29" s="229" t="str">
        <f>'use case data'!O17</f>
        <v>V2</v>
      </c>
      <c r="P29" s="229" t="str">
        <f>'use case data'!P17</f>
        <v>V2</v>
      </c>
      <c r="Q29" s="229" t="str">
        <f>'use case data'!Q17</f>
        <v>V3</v>
      </c>
      <c r="R29" s="229" t="str">
        <f>'use case data'!R17</f>
        <v>V3</v>
      </c>
    </row>
    <row r="30" spans="1:18" ht="18" x14ac:dyDescent="0.25">
      <c r="A30" s="213" t="s">
        <v>2</v>
      </c>
      <c r="B30" s="232" t="s">
        <v>388</v>
      </c>
      <c r="C30" s="232">
        <f>'use case data'!D18</f>
        <v>1</v>
      </c>
      <c r="D30" s="246">
        <f>'use case data'!E18</f>
        <v>1</v>
      </c>
      <c r="E30" s="232">
        <f>'use case data'!F18</f>
        <v>2</v>
      </c>
      <c r="F30" s="232">
        <f>'use case data'!G18</f>
        <v>2</v>
      </c>
      <c r="G30" s="246">
        <f>'use case data'!H18</f>
        <v>2</v>
      </c>
      <c r="H30" s="232">
        <f>'use case data'!I18</f>
        <v>3</v>
      </c>
      <c r="I30" s="232">
        <f>'use case data'!J18</f>
        <v>3</v>
      </c>
      <c r="J30" s="246">
        <f>'use case data'!K18</f>
        <v>3</v>
      </c>
      <c r="K30" s="230"/>
      <c r="L30" s="232">
        <f>'use case data'!M18</f>
        <v>3</v>
      </c>
      <c r="M30" s="233">
        <f>'use case data'!N18</f>
        <v>3</v>
      </c>
      <c r="N30" s="213"/>
      <c r="O30" s="232">
        <f>'use case data'!O18</f>
        <v>2</v>
      </c>
      <c r="P30" s="232">
        <f>'use case data'!P18</f>
        <v>2</v>
      </c>
      <c r="Q30" s="232">
        <f>'use case data'!Q18</f>
        <v>3</v>
      </c>
      <c r="R30" s="232">
        <f>'use case data'!R18</f>
        <v>3</v>
      </c>
    </row>
    <row r="31" spans="1:18" ht="15.75" x14ac:dyDescent="0.25">
      <c r="A31" s="213"/>
      <c r="B31" s="232"/>
      <c r="C31" s="232" t="str">
        <f>'use case data'!D21</f>
        <v>3W low V1</v>
      </c>
      <c r="D31" s="246" t="str">
        <f>'use case data'!E21</f>
        <v>3W medium V1</v>
      </c>
      <c r="E31" s="232" t="str">
        <f>'use case data'!F21</f>
        <v>3W low V1</v>
      </c>
      <c r="F31" s="232" t="str">
        <f>'use case data'!G21</f>
        <v>3W medium V2</v>
      </c>
      <c r="G31" s="246" t="str">
        <f>'use case data'!H21</f>
        <v>3W high V2</v>
      </c>
      <c r="H31" s="232" t="str">
        <f>'use case data'!I21</f>
        <v>3W low V3</v>
      </c>
      <c r="I31" s="232" t="str">
        <f>'use case data'!J21</f>
        <v>3W medium V3</v>
      </c>
      <c r="J31" s="246" t="str">
        <f>'use case data'!K21</f>
        <v>3W high V3</v>
      </c>
      <c r="K31" s="230"/>
      <c r="L31" s="232" t="str">
        <f>'use case data'!M21</f>
        <v>4wheel mid-mile</v>
      </c>
      <c r="M31" s="232" t="str">
        <f>'use case data'!N21</f>
        <v>4wheel metro</v>
      </c>
      <c r="N31" s="230"/>
      <c r="O31" s="232" t="str">
        <f>'use case data'!O21</f>
        <v>3W midmile V2</v>
      </c>
      <c r="P31" s="233" t="str">
        <f>'use case data'!P21</f>
        <v>3W metro V2</v>
      </c>
      <c r="Q31" s="233" t="str">
        <f>'use case data'!Q21</f>
        <v>3W midmile V3</v>
      </c>
      <c r="R31" s="233" t="str">
        <f>'use case data'!R21</f>
        <v>3W metro V3</v>
      </c>
    </row>
    <row r="32" spans="1:18" ht="15.75" x14ac:dyDescent="0.25">
      <c r="A32" s="213" t="str">
        <f>'use case data'!B19</f>
        <v>required range</v>
      </c>
      <c r="B32" s="232" t="str">
        <f>'use case data'!C19</f>
        <v>km</v>
      </c>
      <c r="C32" s="232">
        <f>'use case data'!D19</f>
        <v>100</v>
      </c>
      <c r="D32" s="246">
        <f>'use case data'!E19</f>
        <v>180</v>
      </c>
      <c r="E32" s="232">
        <f>'use case data'!F19</f>
        <v>100</v>
      </c>
      <c r="F32" s="232">
        <f>'use case data'!G19</f>
        <v>180</v>
      </c>
      <c r="G32" s="246">
        <f>'use case data'!H19</f>
        <v>250</v>
      </c>
      <c r="H32" s="232">
        <f>'use case data'!I19</f>
        <v>100</v>
      </c>
      <c r="I32" s="232">
        <f>'use case data'!J19</f>
        <v>180</v>
      </c>
      <c r="J32" s="246">
        <f>'use case data'!K19</f>
        <v>250</v>
      </c>
      <c r="K32" s="230"/>
      <c r="L32" s="232">
        <f>'use case data'!M19</f>
        <v>180</v>
      </c>
      <c r="M32" s="233">
        <f>'use case data'!N19</f>
        <v>250</v>
      </c>
      <c r="N32" s="213"/>
      <c r="O32" s="232">
        <f>'use case data'!O19</f>
        <v>180</v>
      </c>
      <c r="P32" s="232">
        <f>'use case data'!P19</f>
        <v>250</v>
      </c>
      <c r="Q32" s="232">
        <f>'use case data'!Q19</f>
        <v>180</v>
      </c>
      <c r="R32" s="232">
        <f>'use case data'!R19</f>
        <v>250</v>
      </c>
    </row>
    <row r="33" spans="1:23" ht="15.75" x14ac:dyDescent="0.25">
      <c r="A33" s="213" t="s">
        <v>9</v>
      </c>
      <c r="B33" s="232" t="s">
        <v>10</v>
      </c>
      <c r="C33" s="234">
        <f t="shared" ref="C33:J33" si="0">kerb_weight+cargo_SW*C30+C91</f>
        <v>240.12345679012347</v>
      </c>
      <c r="D33" s="247">
        <f t="shared" si="0"/>
        <v>257.66666666666669</v>
      </c>
      <c r="E33" s="234">
        <f t="shared" si="0"/>
        <v>353.05246913580248</v>
      </c>
      <c r="F33" s="234">
        <f t="shared" si="0"/>
        <v>382.09944444444443</v>
      </c>
      <c r="G33" s="247">
        <f t="shared" si="0"/>
        <v>435.71481481481482</v>
      </c>
      <c r="H33" s="234">
        <f t="shared" si="0"/>
        <v>457.47530864197529</v>
      </c>
      <c r="I33" s="234">
        <f t="shared" si="0"/>
        <v>495.67777777777775</v>
      </c>
      <c r="J33" s="247">
        <f t="shared" si="0"/>
        <v>562.59259259259261</v>
      </c>
      <c r="K33" s="230"/>
      <c r="L33" s="232">
        <v>1600</v>
      </c>
      <c r="M33" s="233">
        <v>1600</v>
      </c>
      <c r="N33" s="213"/>
      <c r="O33" s="234">
        <f>kerb_weight+cargo_SW*O30+O91</f>
        <v>346.88888888888891</v>
      </c>
      <c r="P33" s="234">
        <f>kerb_weight+cargo_SW*P30+P91</f>
        <v>358.58024691358025</v>
      </c>
      <c r="Q33" s="234">
        <f>kerb_weight+cargo_SW*Q30+Q91</f>
        <v>453.66666666666669</v>
      </c>
      <c r="R33" s="234">
        <f>kerb_weight+cargo_SW*R30+R91</f>
        <v>470.15432098765433</v>
      </c>
    </row>
    <row r="34" spans="1:23" ht="15.75" x14ac:dyDescent="0.25">
      <c r="A34" s="213" t="s">
        <v>136</v>
      </c>
      <c r="B34" s="235" t="s">
        <v>25</v>
      </c>
      <c r="C34" s="235">
        <v>32.6</v>
      </c>
      <c r="D34" s="248">
        <v>33.9</v>
      </c>
      <c r="E34" s="236">
        <v>53.545000000000002</v>
      </c>
      <c r="F34" s="236">
        <v>55.889499999999998</v>
      </c>
      <c r="G34" s="249">
        <v>74.983199999999997</v>
      </c>
      <c r="H34" s="236">
        <v>60.71</v>
      </c>
      <c r="I34" s="236">
        <v>68.11</v>
      </c>
      <c r="J34" s="249">
        <v>92.4</v>
      </c>
      <c r="K34" s="237"/>
      <c r="L34" s="236">
        <v>98</v>
      </c>
      <c r="M34" s="238">
        <v>113</v>
      </c>
      <c r="N34" s="213"/>
      <c r="O34" s="236">
        <v>24.2</v>
      </c>
      <c r="P34" s="236">
        <v>25</v>
      </c>
      <c r="Q34" s="236">
        <v>30.3</v>
      </c>
      <c r="R34" s="236">
        <v>32.5</v>
      </c>
      <c r="U34" s="23"/>
    </row>
    <row r="35" spans="1:23" ht="15.75" x14ac:dyDescent="0.25">
      <c r="A35" s="213" t="s">
        <v>17</v>
      </c>
      <c r="B35" s="235" t="s">
        <v>18</v>
      </c>
      <c r="C35" s="236">
        <f t="shared" ref="C35:J35" si="1">C34*C32/use_bat_E/1000</f>
        <v>3.6222222222222222</v>
      </c>
      <c r="D35" s="249">
        <f t="shared" si="1"/>
        <v>6.78</v>
      </c>
      <c r="E35" s="236">
        <f t="shared" si="1"/>
        <v>5.9494444444444445</v>
      </c>
      <c r="F35" s="236">
        <f t="shared" si="1"/>
        <v>11.177899999999999</v>
      </c>
      <c r="G35" s="249">
        <f t="shared" si="1"/>
        <v>20.828666666666663</v>
      </c>
      <c r="H35" s="236">
        <f t="shared" si="1"/>
        <v>6.7455555555555557</v>
      </c>
      <c r="I35" s="236">
        <f t="shared" si="1"/>
        <v>13.621999999999998</v>
      </c>
      <c r="J35" s="249">
        <f t="shared" si="1"/>
        <v>25.666666666666664</v>
      </c>
      <c r="K35" s="237"/>
      <c r="L35" s="236">
        <f>L34*L32/use_bat_E/1000</f>
        <v>19.600000000000001</v>
      </c>
      <c r="M35" s="238">
        <f>M34*M32/use_bat_E/1000</f>
        <v>31.388888888888886</v>
      </c>
      <c r="N35" s="213"/>
      <c r="O35" s="236">
        <f>O34*O32/use_bat_E/1000</f>
        <v>4.84</v>
      </c>
      <c r="P35" s="236">
        <f>P34*P32/use_bat_E/1000</f>
        <v>6.9444444444444446</v>
      </c>
      <c r="Q35" s="236">
        <f>Q34*Q32/use_bat_E/1000</f>
        <v>6.06</v>
      </c>
      <c r="R35" s="236">
        <f>R34*R32/use_bat_E/1000</f>
        <v>9.0277777777777768</v>
      </c>
    </row>
    <row r="36" spans="1:23" ht="15.75" x14ac:dyDescent="0.25">
      <c r="A36" s="213" t="s">
        <v>137</v>
      </c>
      <c r="B36" s="235" t="s">
        <v>138</v>
      </c>
      <c r="C36" s="239">
        <f>C35/V_nom*1000</f>
        <v>49.961685823754792</v>
      </c>
      <c r="D36" s="250">
        <f t="shared" ref="D36" si="2">D35/V_nom*1000</f>
        <v>93.517241379310349</v>
      </c>
      <c r="E36" s="239">
        <f>E35/V_nom*1000</f>
        <v>82.061302681992345</v>
      </c>
      <c r="F36" s="239">
        <f t="shared" ref="F36:J36" si="3">F35/V_nom*1000</f>
        <v>154.17793103448275</v>
      </c>
      <c r="G36" s="250">
        <f t="shared" si="3"/>
        <v>287.29195402298848</v>
      </c>
      <c r="H36" s="239">
        <f t="shared" si="3"/>
        <v>93.042145593869733</v>
      </c>
      <c r="I36" s="239">
        <f t="shared" si="3"/>
        <v>187.88965517241377</v>
      </c>
      <c r="J36" s="250">
        <f t="shared" si="3"/>
        <v>354.02298850574709</v>
      </c>
      <c r="K36" s="240"/>
      <c r="L36" s="239">
        <f>L35/V_nom*1000</f>
        <v>270.34482758620692</v>
      </c>
      <c r="M36" s="241">
        <f t="shared" ref="M36" si="4">M35/V_nom*1000</f>
        <v>432.95019157088115</v>
      </c>
      <c r="N36" s="213"/>
      <c r="O36" s="239">
        <f t="shared" ref="O36" si="5">O35/V_nom*1000</f>
        <v>66.758620689655174</v>
      </c>
      <c r="P36" s="239">
        <f t="shared" ref="P36:R36" si="6">P35/V_nom*1000</f>
        <v>95.785440613026822</v>
      </c>
      <c r="Q36" s="239">
        <f t="shared" si="6"/>
        <v>83.586206896551715</v>
      </c>
      <c r="R36" s="239">
        <f t="shared" si="6"/>
        <v>124.52107279693485</v>
      </c>
    </row>
    <row r="37" spans="1:23" ht="15.75" x14ac:dyDescent="0.25">
      <c r="A37" s="213" t="s">
        <v>139</v>
      </c>
      <c r="B37" s="235" t="s">
        <v>140</v>
      </c>
      <c r="C37" s="236">
        <v>3</v>
      </c>
      <c r="D37" s="249">
        <v>6</v>
      </c>
      <c r="E37" s="236">
        <v>6</v>
      </c>
      <c r="F37" s="236">
        <v>9</v>
      </c>
      <c r="G37" s="249">
        <v>12</v>
      </c>
      <c r="H37" s="236">
        <v>12</v>
      </c>
      <c r="I37" s="236">
        <v>12</v>
      </c>
      <c r="J37" s="249">
        <v>15</v>
      </c>
      <c r="K37" s="237"/>
      <c r="L37" s="236">
        <v>100</v>
      </c>
      <c r="M37" s="238">
        <v>100</v>
      </c>
      <c r="N37" s="213"/>
      <c r="O37" s="236">
        <v>15</v>
      </c>
      <c r="P37" s="236">
        <v>16</v>
      </c>
      <c r="Q37" s="236">
        <v>17</v>
      </c>
      <c r="R37" s="236">
        <v>18</v>
      </c>
    </row>
    <row r="38" spans="1:23" ht="15.75" x14ac:dyDescent="0.25">
      <c r="A38" s="213" t="s">
        <v>141</v>
      </c>
      <c r="B38" s="235" t="s">
        <v>13</v>
      </c>
      <c r="C38" s="235">
        <f t="shared" ref="C38:D38" si="7">300+600+C42</f>
        <v>1200</v>
      </c>
      <c r="D38" s="248">
        <f t="shared" si="7"/>
        <v>1200</v>
      </c>
      <c r="E38" s="235">
        <f>300+600+E42</f>
        <v>1200</v>
      </c>
      <c r="F38" s="235">
        <f t="shared" ref="F38:H38" si="8">300+600+F42</f>
        <v>1200</v>
      </c>
      <c r="G38" s="248">
        <f>300+600+G42</f>
        <v>1400</v>
      </c>
      <c r="H38" s="235">
        <f t="shared" si="8"/>
        <v>1200</v>
      </c>
      <c r="I38" s="235">
        <f>300+600+I42</f>
        <v>1200</v>
      </c>
      <c r="J38" s="248">
        <f>300+600+J42</f>
        <v>1500</v>
      </c>
      <c r="K38" s="230"/>
      <c r="L38" s="235">
        <v>2785</v>
      </c>
      <c r="M38" s="242">
        <v>2785</v>
      </c>
      <c r="N38" s="213"/>
      <c r="O38" s="235">
        <f>300+600+O42</f>
        <v>1200</v>
      </c>
      <c r="P38" s="235">
        <f t="shared" ref="P38:R38" si="9">300+600+P42</f>
        <v>1200</v>
      </c>
      <c r="Q38" s="235">
        <f t="shared" si="9"/>
        <v>1200</v>
      </c>
      <c r="R38" s="235">
        <f t="shared" si="9"/>
        <v>1200</v>
      </c>
    </row>
    <row r="39" spans="1:23" ht="15.75" x14ac:dyDescent="0.25">
      <c r="A39" s="213" t="s">
        <v>142</v>
      </c>
      <c r="B39" s="235"/>
      <c r="C39" s="235">
        <f t="shared" ref="C39:D39" si="10">INT(C35/5)+1</f>
        <v>1</v>
      </c>
      <c r="D39" s="248">
        <f t="shared" si="10"/>
        <v>2</v>
      </c>
      <c r="E39" s="235">
        <f>INT(E35/5)+1</f>
        <v>2</v>
      </c>
      <c r="F39" s="235">
        <f t="shared" ref="F39:H39" si="11">INT(F35/5)+1</f>
        <v>3</v>
      </c>
      <c r="G39" s="248">
        <f>INT(G35/5)+1</f>
        <v>5</v>
      </c>
      <c r="H39" s="235">
        <f t="shared" si="11"/>
        <v>2</v>
      </c>
      <c r="I39" s="235">
        <f>INT(I35/5)+1</f>
        <v>3</v>
      </c>
      <c r="J39" s="248">
        <f>INT(J35/5)+1</f>
        <v>6</v>
      </c>
      <c r="K39" s="230"/>
      <c r="L39" s="235"/>
      <c r="M39" s="242"/>
      <c r="N39" s="213"/>
      <c r="O39" s="235">
        <f>INT(O35/5)+1</f>
        <v>1</v>
      </c>
      <c r="P39" s="235">
        <f t="shared" ref="P39:R39" si="12">INT(P35/5)+1</f>
        <v>2</v>
      </c>
      <c r="Q39" s="235">
        <f t="shared" si="12"/>
        <v>2</v>
      </c>
      <c r="R39" s="235">
        <f t="shared" si="12"/>
        <v>2</v>
      </c>
    </row>
    <row r="40" spans="1:23" ht="15.75" x14ac:dyDescent="0.25">
      <c r="A40" s="213" t="s">
        <v>143</v>
      </c>
      <c r="B40" s="235"/>
      <c r="C40" s="235">
        <v>1</v>
      </c>
      <c r="D40" s="248">
        <v>2</v>
      </c>
      <c r="E40" s="235">
        <v>2</v>
      </c>
      <c r="F40" s="235">
        <v>3</v>
      </c>
      <c r="G40" s="248">
        <v>3</v>
      </c>
      <c r="H40" s="235">
        <v>2</v>
      </c>
      <c r="I40" s="235">
        <v>3</v>
      </c>
      <c r="J40" s="248">
        <v>3</v>
      </c>
      <c r="K40" s="230"/>
      <c r="L40" s="235"/>
      <c r="M40" s="242"/>
      <c r="N40" s="213"/>
      <c r="O40" s="235">
        <v>1</v>
      </c>
      <c r="P40" s="235">
        <v>2</v>
      </c>
      <c r="Q40" s="235">
        <v>2</v>
      </c>
      <c r="R40" s="235">
        <v>2</v>
      </c>
    </row>
    <row r="41" spans="1:23" ht="21" x14ac:dyDescent="0.35">
      <c r="A41" s="213" t="s">
        <v>144</v>
      </c>
      <c r="B41" s="243"/>
      <c r="C41" s="235">
        <f t="shared" ref="C41:E41" si="13">C39/C40</f>
        <v>1</v>
      </c>
      <c r="D41" s="248">
        <f t="shared" si="13"/>
        <v>1</v>
      </c>
      <c r="E41" s="235">
        <f t="shared" si="13"/>
        <v>1</v>
      </c>
      <c r="F41" s="235">
        <f t="shared" ref="F41:I41" si="14">F39/F40</f>
        <v>1</v>
      </c>
      <c r="G41" s="249">
        <f>G39/G40</f>
        <v>1.6666666666666667</v>
      </c>
      <c r="H41" s="235">
        <f>H39/H40</f>
        <v>1</v>
      </c>
      <c r="I41" s="235">
        <f t="shared" si="14"/>
        <v>1</v>
      </c>
      <c r="J41" s="248">
        <f>J39/J40</f>
        <v>2</v>
      </c>
      <c r="K41" s="230"/>
      <c r="L41" s="235"/>
      <c r="M41" s="242"/>
      <c r="N41" s="213"/>
      <c r="O41" s="235">
        <f>O39/O40</f>
        <v>1</v>
      </c>
      <c r="P41" s="235">
        <f t="shared" ref="P41:R41" si="15">P39/P40</f>
        <v>1</v>
      </c>
      <c r="Q41" s="235">
        <f t="shared" si="15"/>
        <v>1</v>
      </c>
      <c r="R41" s="235">
        <f t="shared" si="15"/>
        <v>1</v>
      </c>
      <c r="W41" s="113"/>
    </row>
    <row r="42" spans="1:23" ht="51" x14ac:dyDescent="0.5">
      <c r="A42" s="244" t="s">
        <v>145</v>
      </c>
      <c r="B42" s="235" t="s">
        <v>13</v>
      </c>
      <c r="C42" s="235">
        <f t="shared" ref="C42:D42" si="16">mod_length*C41</f>
        <v>300</v>
      </c>
      <c r="D42" s="248">
        <f t="shared" si="16"/>
        <v>300</v>
      </c>
      <c r="E42" s="235">
        <f>mod_length*E41</f>
        <v>300</v>
      </c>
      <c r="F42" s="235">
        <f t="shared" ref="F42:J42" si="17">mod_length*F41</f>
        <v>300</v>
      </c>
      <c r="G42" s="248">
        <f t="shared" si="17"/>
        <v>500</v>
      </c>
      <c r="H42" s="235">
        <f>mod_length*H41</f>
        <v>300</v>
      </c>
      <c r="I42" s="235">
        <f t="shared" si="17"/>
        <v>300</v>
      </c>
      <c r="J42" s="248">
        <f t="shared" si="17"/>
        <v>600</v>
      </c>
      <c r="K42" s="230"/>
      <c r="L42" s="235"/>
      <c r="M42" s="242"/>
      <c r="N42" s="213"/>
      <c r="O42" s="235">
        <f t="shared" ref="O42:R42" si="18">mod_length*O41</f>
        <v>300</v>
      </c>
      <c r="P42" s="235">
        <f t="shared" si="18"/>
        <v>300</v>
      </c>
      <c r="Q42" s="235">
        <f t="shared" si="18"/>
        <v>300</v>
      </c>
      <c r="R42" s="235">
        <f t="shared" si="18"/>
        <v>300</v>
      </c>
      <c r="W42" s="114"/>
    </row>
    <row r="43" spans="1:23" ht="47.25" x14ac:dyDescent="0.25">
      <c r="A43" s="244" t="s">
        <v>146</v>
      </c>
      <c r="B43" s="235" t="s">
        <v>13</v>
      </c>
      <c r="C43" s="235">
        <f>mod_height*C40</f>
        <v>75</v>
      </c>
      <c r="D43" s="248">
        <f t="shared" ref="D43" si="19">mod_height*D40</f>
        <v>150</v>
      </c>
      <c r="E43" s="235">
        <f>mod_height*E40</f>
        <v>150</v>
      </c>
      <c r="F43" s="235">
        <f t="shared" ref="F43:J43" si="20">mod_height*F40</f>
        <v>225</v>
      </c>
      <c r="G43" s="248">
        <f>mod_height*G40</f>
        <v>225</v>
      </c>
      <c r="H43" s="235">
        <f t="shared" si="20"/>
        <v>150</v>
      </c>
      <c r="I43" s="235">
        <f t="shared" si="20"/>
        <v>225</v>
      </c>
      <c r="J43" s="248">
        <f t="shared" si="20"/>
        <v>225</v>
      </c>
      <c r="K43" s="230"/>
      <c r="L43" s="235"/>
      <c r="M43" s="242"/>
      <c r="N43" s="213"/>
      <c r="O43" s="235">
        <f t="shared" ref="O43:R43" si="21">mod_height*O40</f>
        <v>75</v>
      </c>
      <c r="P43" s="235">
        <f t="shared" si="21"/>
        <v>150</v>
      </c>
      <c r="Q43" s="235">
        <f t="shared" si="21"/>
        <v>150</v>
      </c>
      <c r="R43" s="235">
        <f t="shared" si="21"/>
        <v>150</v>
      </c>
    </row>
    <row r="44" spans="1:23" ht="15.75" x14ac:dyDescent="0.25">
      <c r="A44" s="213" t="s">
        <v>147</v>
      </c>
      <c r="B44" s="235" t="s">
        <v>13</v>
      </c>
      <c r="C44" s="235">
        <f>Z_bat_bot+C43/2</f>
        <v>-32.5</v>
      </c>
      <c r="D44" s="248">
        <f t="shared" ref="D44:E44" si="22">Z_bat_bot+D43/2</f>
        <v>5</v>
      </c>
      <c r="E44" s="235">
        <f t="shared" si="22"/>
        <v>5</v>
      </c>
      <c r="F44" s="235">
        <f t="shared" ref="F44:J44" si="23">Z_bat_bot+F43/2</f>
        <v>42.5</v>
      </c>
      <c r="G44" s="248">
        <f t="shared" si="23"/>
        <v>42.5</v>
      </c>
      <c r="H44" s="235">
        <f t="shared" si="23"/>
        <v>5</v>
      </c>
      <c r="I44" s="235">
        <f t="shared" si="23"/>
        <v>42.5</v>
      </c>
      <c r="J44" s="248">
        <f t="shared" si="23"/>
        <v>42.5</v>
      </c>
      <c r="K44" s="230"/>
      <c r="L44" s="235"/>
      <c r="M44" s="242"/>
      <c r="N44" s="213"/>
      <c r="O44" s="235">
        <f t="shared" ref="O44:R44" si="24">Z_bat_bot+O43/2</f>
        <v>-32.5</v>
      </c>
      <c r="P44" s="235">
        <f t="shared" si="24"/>
        <v>5</v>
      </c>
      <c r="Q44" s="235">
        <f t="shared" si="24"/>
        <v>5</v>
      </c>
      <c r="R44" s="235">
        <f t="shared" si="24"/>
        <v>5</v>
      </c>
    </row>
    <row r="45" spans="1:23" ht="15.75" x14ac:dyDescent="0.25">
      <c r="A45" s="213" t="s">
        <v>148</v>
      </c>
      <c r="B45" s="235" t="s">
        <v>13</v>
      </c>
      <c r="C45" s="235">
        <v>600</v>
      </c>
      <c r="D45" s="248">
        <v>600</v>
      </c>
      <c r="E45" s="235">
        <v>650</v>
      </c>
      <c r="F45" s="235">
        <v>650</v>
      </c>
      <c r="G45" s="248">
        <v>650</v>
      </c>
      <c r="H45" s="235">
        <v>650</v>
      </c>
      <c r="I45" s="235">
        <v>650</v>
      </c>
      <c r="J45" s="248">
        <v>650</v>
      </c>
      <c r="K45" s="213"/>
      <c r="L45" s="235"/>
      <c r="M45" s="235"/>
      <c r="N45" s="213"/>
      <c r="O45" s="235">
        <v>650</v>
      </c>
      <c r="P45" s="235">
        <v>650</v>
      </c>
      <c r="Q45" s="235">
        <v>650</v>
      </c>
      <c r="R45" s="235">
        <v>650</v>
      </c>
    </row>
    <row r="46" spans="1:23" ht="13.5" customHeight="1" x14ac:dyDescent="0.25">
      <c r="A46" s="213" t="s">
        <v>399</v>
      </c>
      <c r="B46" s="235" t="s">
        <v>13</v>
      </c>
      <c r="C46" s="235">
        <f t="shared" ref="C46:J46" si="25">$E$20+$E$22+Xb</f>
        <v>1900</v>
      </c>
      <c r="D46" s="248">
        <f t="shared" si="25"/>
        <v>1900</v>
      </c>
      <c r="E46" s="235">
        <f t="shared" si="25"/>
        <v>1900</v>
      </c>
      <c r="F46" s="235">
        <f t="shared" si="25"/>
        <v>1900</v>
      </c>
      <c r="G46" s="248">
        <f t="shared" si="25"/>
        <v>1900</v>
      </c>
      <c r="H46" s="235">
        <f t="shared" si="25"/>
        <v>1900</v>
      </c>
      <c r="I46" s="235">
        <f t="shared" si="25"/>
        <v>1900</v>
      </c>
      <c r="J46" s="248">
        <f t="shared" si="25"/>
        <v>1900</v>
      </c>
      <c r="K46" s="230"/>
      <c r="L46" s="235"/>
      <c r="M46" s="242"/>
      <c r="N46" s="213"/>
      <c r="O46" s="235">
        <f>$E$20+$E$22+Xb</f>
        <v>1900</v>
      </c>
      <c r="P46" s="235">
        <f>$E$20+$E$22+Xb</f>
        <v>1900</v>
      </c>
      <c r="Q46" s="235">
        <f>$E$20+$E$22+Xb</f>
        <v>1900</v>
      </c>
      <c r="R46" s="235">
        <f>$E$20+$E$22+Xb</f>
        <v>1900</v>
      </c>
    </row>
    <row r="47" spans="1:23" ht="15.75" x14ac:dyDescent="0.25">
      <c r="A47" s="213" t="s">
        <v>149</v>
      </c>
      <c r="B47" s="235" t="s">
        <v>13</v>
      </c>
      <c r="C47" s="235">
        <v>800</v>
      </c>
      <c r="D47" s="248">
        <v>800</v>
      </c>
      <c r="E47" s="235">
        <v>1100</v>
      </c>
      <c r="F47" s="235">
        <v>1100</v>
      </c>
      <c r="G47" s="248">
        <v>1100</v>
      </c>
      <c r="H47" s="235">
        <v>1100</v>
      </c>
      <c r="I47" s="235">
        <v>1100</v>
      </c>
      <c r="J47" s="248">
        <v>1100</v>
      </c>
      <c r="K47" s="230"/>
      <c r="L47" s="235">
        <v>1848</v>
      </c>
      <c r="M47" s="235">
        <v>1848</v>
      </c>
      <c r="N47" s="213"/>
      <c r="O47" s="235">
        <v>1100</v>
      </c>
      <c r="P47" s="235">
        <v>1100</v>
      </c>
      <c r="Q47" s="235">
        <v>1100</v>
      </c>
      <c r="R47" s="235">
        <v>1100</v>
      </c>
    </row>
    <row r="48" spans="1:23" ht="15.75" x14ac:dyDescent="0.25">
      <c r="A48" s="213" t="s">
        <v>16</v>
      </c>
      <c r="B48" s="235" t="s">
        <v>13</v>
      </c>
      <c r="C48" s="235">
        <f>C52*1000+C45</f>
        <v>1352</v>
      </c>
      <c r="D48" s="248">
        <f t="shared" ref="D48:J48" si="26">D52*1000+D45</f>
        <v>1352</v>
      </c>
      <c r="E48" s="235">
        <f t="shared" si="26"/>
        <v>1703</v>
      </c>
      <c r="F48" s="235">
        <f t="shared" si="26"/>
        <v>1703</v>
      </c>
      <c r="G48" s="248">
        <f t="shared" si="26"/>
        <v>1703</v>
      </c>
      <c r="H48" s="235">
        <f t="shared" si="26"/>
        <v>1954</v>
      </c>
      <c r="I48" s="235">
        <f t="shared" si="26"/>
        <v>1954</v>
      </c>
      <c r="J48" s="248">
        <f t="shared" si="26"/>
        <v>1954</v>
      </c>
      <c r="K48" s="230"/>
      <c r="L48" s="235">
        <v>1880</v>
      </c>
      <c r="M48" s="235">
        <v>1880</v>
      </c>
      <c r="N48" s="213"/>
      <c r="O48" s="235">
        <f>O52*1000+O45</f>
        <v>1703</v>
      </c>
      <c r="P48" s="235">
        <f>P52*1000+P45</f>
        <v>1703</v>
      </c>
      <c r="Q48" s="235">
        <f>Q52*1000+Q45</f>
        <v>1954</v>
      </c>
      <c r="R48" s="235">
        <f>R52*1000+R45</f>
        <v>1954</v>
      </c>
    </row>
    <row r="49" spans="1:18" ht="15.75" x14ac:dyDescent="0.25">
      <c r="A49" s="6" t="s">
        <v>150</v>
      </c>
      <c r="B49" s="230"/>
      <c r="C49" s="230"/>
      <c r="D49" s="251"/>
      <c r="E49" s="230"/>
      <c r="F49" s="230"/>
      <c r="G49" s="251"/>
      <c r="H49" s="230"/>
      <c r="I49" s="230"/>
      <c r="J49" s="251"/>
      <c r="K49" s="213"/>
      <c r="L49" s="213"/>
      <c r="M49" s="213"/>
      <c r="N49" s="213"/>
      <c r="O49" s="213"/>
      <c r="P49" s="213"/>
      <c r="Q49" s="213"/>
      <c r="R49" s="213"/>
    </row>
    <row r="50" spans="1:18" ht="15.75" x14ac:dyDescent="0.25">
      <c r="A50" s="213" t="s">
        <v>151</v>
      </c>
      <c r="B50" s="235" t="s">
        <v>152</v>
      </c>
      <c r="C50" s="235">
        <v>1.9</v>
      </c>
      <c r="D50" s="248">
        <v>1.9</v>
      </c>
      <c r="E50" s="235">
        <v>1.9</v>
      </c>
      <c r="F50" s="235">
        <v>1.9</v>
      </c>
      <c r="G50" s="248">
        <v>1.9</v>
      </c>
      <c r="H50" s="235">
        <v>2.2999999999999998</v>
      </c>
      <c r="I50" s="235">
        <v>2.2999999999999998</v>
      </c>
      <c r="J50" s="248">
        <v>2.2999999999999998</v>
      </c>
      <c r="K50" s="213"/>
      <c r="L50" s="213"/>
      <c r="M50" s="213"/>
      <c r="N50" s="213"/>
      <c r="O50" s="235">
        <v>1.9</v>
      </c>
      <c r="P50" s="235">
        <v>1.9</v>
      </c>
      <c r="Q50" s="235">
        <v>2.2999999999999998</v>
      </c>
      <c r="R50" s="235">
        <v>2.2999999999999998</v>
      </c>
    </row>
    <row r="51" spans="1:18" ht="15.75" x14ac:dyDescent="0.25">
      <c r="A51" s="213" t="s">
        <v>398</v>
      </c>
      <c r="B51" s="235" t="s">
        <v>152</v>
      </c>
      <c r="C51" s="235">
        <f>(C47-100)/1000</f>
        <v>0.7</v>
      </c>
      <c r="D51" s="248">
        <f t="shared" ref="D51:J51" si="27">(D47-100)/1000</f>
        <v>0.7</v>
      </c>
      <c r="E51" s="235">
        <f t="shared" si="27"/>
        <v>1</v>
      </c>
      <c r="F51" s="235">
        <f t="shared" si="27"/>
        <v>1</v>
      </c>
      <c r="G51" s="248">
        <f t="shared" si="27"/>
        <v>1</v>
      </c>
      <c r="H51" s="235">
        <f t="shared" si="27"/>
        <v>1</v>
      </c>
      <c r="I51" s="235">
        <f t="shared" si="27"/>
        <v>1</v>
      </c>
      <c r="J51" s="248">
        <f t="shared" si="27"/>
        <v>1</v>
      </c>
      <c r="K51" s="213"/>
      <c r="L51" s="213"/>
      <c r="M51" s="213"/>
      <c r="N51" s="213"/>
      <c r="O51" s="235">
        <f>(O47-100)/1000</f>
        <v>1</v>
      </c>
      <c r="P51" s="235">
        <f>(P47-100)/1000</f>
        <v>1</v>
      </c>
      <c r="Q51" s="235">
        <f>(Q47-100)/1000</f>
        <v>1</v>
      </c>
      <c r="R51" s="235">
        <f>(R47-100)/1000</f>
        <v>1</v>
      </c>
    </row>
    <row r="52" spans="1:18" ht="15.75" x14ac:dyDescent="0.25">
      <c r="A52" s="213" t="s">
        <v>153</v>
      </c>
      <c r="B52" s="235" t="s">
        <v>152</v>
      </c>
      <c r="C52" s="235">
        <f>ROUND(C30/C50/C51,3)</f>
        <v>0.752</v>
      </c>
      <c r="D52" s="248">
        <f t="shared" ref="D52:I52" si="28">ROUND(D30/D50/D51,3)</f>
        <v>0.752</v>
      </c>
      <c r="E52" s="235">
        <f t="shared" si="28"/>
        <v>1.0529999999999999</v>
      </c>
      <c r="F52" s="235">
        <f t="shared" si="28"/>
        <v>1.0529999999999999</v>
      </c>
      <c r="G52" s="248">
        <f t="shared" si="28"/>
        <v>1.0529999999999999</v>
      </c>
      <c r="H52" s="235">
        <f t="shared" si="28"/>
        <v>1.304</v>
      </c>
      <c r="I52" s="235">
        <f t="shared" si="28"/>
        <v>1.304</v>
      </c>
      <c r="J52" s="248">
        <f>ROUND(J30/J50/J51,3)</f>
        <v>1.304</v>
      </c>
      <c r="K52" s="213"/>
      <c r="L52" s="213"/>
      <c r="M52" s="213"/>
      <c r="N52" s="213"/>
      <c r="O52" s="235">
        <f>ROUND(O30/O50/O51,3)</f>
        <v>1.0529999999999999</v>
      </c>
      <c r="P52" s="235">
        <f>ROUND(P30/P50/P51,3)</f>
        <v>1.0529999999999999</v>
      </c>
      <c r="Q52" s="235">
        <f>ROUND(Q30/Q50/Q51,3)</f>
        <v>1.304</v>
      </c>
      <c r="R52" s="235">
        <f>ROUND(R30/R50/R51,3)</f>
        <v>1.304</v>
      </c>
    </row>
    <row r="54" spans="1:18" x14ac:dyDescent="0.25">
      <c r="A54" s="1" t="s">
        <v>154</v>
      </c>
      <c r="B54" s="7"/>
      <c r="G54" s="3"/>
      <c r="H54" s="10"/>
      <c r="I54" s="10"/>
      <c r="J54" s="3"/>
      <c r="K54" s="3"/>
      <c r="O54" s="3"/>
      <c r="P54" s="3"/>
      <c r="Q54" s="3"/>
      <c r="R54" s="3"/>
    </row>
    <row r="55" spans="1:18" x14ac:dyDescent="0.25">
      <c r="A55" t="s">
        <v>155</v>
      </c>
      <c r="B55" s="21" t="s">
        <v>10</v>
      </c>
      <c r="C55" s="115"/>
      <c r="D55" s="116"/>
      <c r="E55" s="116"/>
      <c r="F55" s="116"/>
      <c r="G55" s="116"/>
      <c r="H55" s="116"/>
      <c r="I55" s="116"/>
      <c r="J55" s="116"/>
      <c r="K55" s="116"/>
      <c r="L55" s="29">
        <f>L35/specific_energy*1000</f>
        <v>108.8888888888889</v>
      </c>
      <c r="M55" s="29">
        <f>M35/specific_energy*1000</f>
        <v>174.38271604938268</v>
      </c>
    </row>
    <row r="56" spans="1:18" x14ac:dyDescent="0.25">
      <c r="A56" t="s">
        <v>156</v>
      </c>
      <c r="B56" s="21" t="s">
        <v>10</v>
      </c>
      <c r="C56" s="117"/>
      <c r="D56" s="77"/>
      <c r="E56" s="77"/>
      <c r="F56" s="77"/>
      <c r="G56" s="77"/>
      <c r="H56" s="77"/>
      <c r="I56" s="77"/>
      <c r="J56" s="77"/>
      <c r="K56" s="77"/>
      <c r="L56" s="29">
        <v>160</v>
      </c>
      <c r="M56" s="95">
        <v>160</v>
      </c>
    </row>
    <row r="57" spans="1:18" x14ac:dyDescent="0.25">
      <c r="A57" t="s">
        <v>157</v>
      </c>
      <c r="B57" s="21" t="s">
        <v>10</v>
      </c>
      <c r="C57" s="117"/>
      <c r="D57" s="77"/>
      <c r="E57" s="77"/>
      <c r="F57" s="77"/>
      <c r="G57" s="77"/>
      <c r="H57" s="77"/>
      <c r="I57" s="77"/>
      <c r="J57" s="77"/>
      <c r="K57" s="77"/>
      <c r="L57" s="29">
        <v>100</v>
      </c>
      <c r="M57" s="95">
        <v>100</v>
      </c>
    </row>
    <row r="58" spans="1:18" x14ac:dyDescent="0.25">
      <c r="A58" t="s">
        <v>114</v>
      </c>
      <c r="B58" s="21" t="s">
        <v>10</v>
      </c>
      <c r="C58" s="117"/>
      <c r="D58" s="77"/>
      <c r="E58" s="77"/>
      <c r="F58" s="77"/>
      <c r="G58" s="77"/>
      <c r="H58" s="77"/>
      <c r="I58" s="77"/>
      <c r="J58" s="77"/>
      <c r="K58" s="77"/>
      <c r="L58" s="29">
        <v>580</v>
      </c>
      <c r="M58" s="95">
        <v>580</v>
      </c>
    </row>
    <row r="59" spans="1:18" x14ac:dyDescent="0.25">
      <c r="A59" t="s">
        <v>158</v>
      </c>
      <c r="B59" s="21" t="s">
        <v>10</v>
      </c>
      <c r="C59" s="117"/>
      <c r="D59" s="77"/>
      <c r="E59" s="77"/>
      <c r="F59" s="77"/>
      <c r="G59" s="77"/>
      <c r="H59" s="77"/>
      <c r="I59" s="77"/>
      <c r="J59" s="77"/>
      <c r="K59" s="77"/>
      <c r="L59" s="29">
        <v>280</v>
      </c>
      <c r="M59" s="95">
        <v>280</v>
      </c>
    </row>
    <row r="60" spans="1:18" x14ac:dyDescent="0.25">
      <c r="A60" t="s">
        <v>159</v>
      </c>
      <c r="B60" s="21" t="s">
        <v>10</v>
      </c>
      <c r="C60" s="117"/>
      <c r="D60" s="77"/>
      <c r="E60" s="77"/>
      <c r="F60" s="77"/>
      <c r="G60" s="77"/>
      <c r="H60" s="77"/>
      <c r="I60" s="77"/>
      <c r="J60" s="77"/>
      <c r="K60" s="77"/>
      <c r="L60" s="29">
        <f>SUM(L55:L59)</f>
        <v>1228.8888888888889</v>
      </c>
      <c r="M60" s="95">
        <f>SUM(M55:M59)</f>
        <v>1294.3827160493827</v>
      </c>
    </row>
    <row r="61" spans="1:18" x14ac:dyDescent="0.25">
      <c r="A61" t="s">
        <v>11</v>
      </c>
      <c r="B61" s="21" t="s">
        <v>10</v>
      </c>
      <c r="C61" s="117"/>
      <c r="D61" s="77"/>
      <c r="E61" s="77"/>
      <c r="F61" s="77"/>
      <c r="G61" s="77"/>
      <c r="H61" s="77"/>
      <c r="I61" s="77"/>
      <c r="J61" s="77"/>
      <c r="K61" s="77"/>
      <c r="L61" s="29">
        <v>300</v>
      </c>
      <c r="M61" s="95">
        <v>300</v>
      </c>
    </row>
    <row r="62" spans="1:18" x14ac:dyDescent="0.25">
      <c r="A62" t="s">
        <v>160</v>
      </c>
      <c r="B62" s="21" t="s">
        <v>10</v>
      </c>
      <c r="C62" s="117"/>
      <c r="D62" s="77"/>
      <c r="E62" s="77"/>
      <c r="F62" s="77"/>
      <c r="G62" s="77"/>
      <c r="H62" s="77"/>
      <c r="I62" s="77"/>
      <c r="J62" s="77"/>
      <c r="K62" s="77"/>
      <c r="L62" s="60">
        <f>L60+L61</f>
        <v>1528.8888888888889</v>
      </c>
      <c r="M62" s="96">
        <f>M60+M61</f>
        <v>1594.3827160493827</v>
      </c>
    </row>
    <row r="63" spans="1:18" x14ac:dyDescent="0.25">
      <c r="B63" s="3"/>
      <c r="L63" s="8"/>
      <c r="M63" s="8"/>
    </row>
    <row r="64" spans="1:18" x14ac:dyDescent="0.25">
      <c r="L64" s="10"/>
      <c r="M64" s="10"/>
    </row>
    <row r="65" spans="1:18" x14ac:dyDescent="0.25">
      <c r="A65" s="1" t="s">
        <v>383</v>
      </c>
      <c r="L65" s="10"/>
      <c r="M65" s="10"/>
    </row>
    <row r="66" spans="1:18" x14ac:dyDescent="0.25">
      <c r="C66" s="127" t="str">
        <f t="shared" ref="C66:J66" si="29">C29</f>
        <v>V1</v>
      </c>
      <c r="D66" s="127" t="str">
        <f t="shared" si="29"/>
        <v>V1</v>
      </c>
      <c r="E66" s="127" t="str">
        <f t="shared" si="29"/>
        <v>V2</v>
      </c>
      <c r="F66" s="127" t="str">
        <f t="shared" si="29"/>
        <v>V2</v>
      </c>
      <c r="G66" s="127" t="str">
        <f t="shared" si="29"/>
        <v>V2</v>
      </c>
      <c r="H66" s="127" t="str">
        <f t="shared" si="29"/>
        <v>V3</v>
      </c>
      <c r="I66" s="127" t="str">
        <f t="shared" si="29"/>
        <v>V3</v>
      </c>
      <c r="J66" s="127" t="str">
        <f t="shared" si="29"/>
        <v>V3</v>
      </c>
      <c r="L66" s="10"/>
      <c r="M66" s="10"/>
      <c r="O66" s="127" t="str">
        <f>O29</f>
        <v>V2</v>
      </c>
      <c r="P66" s="127" t="str">
        <f>P29</f>
        <v>V2</v>
      </c>
      <c r="Q66" s="127" t="str">
        <f>Q29</f>
        <v>V3</v>
      </c>
      <c r="R66" s="127" t="str">
        <f>R29</f>
        <v>V3</v>
      </c>
    </row>
    <row r="67" spans="1:18" x14ac:dyDescent="0.25">
      <c r="A67" s="62" t="str">
        <f>A18</f>
        <v>Front end</v>
      </c>
      <c r="B67" s="62" t="s">
        <v>10</v>
      </c>
      <c r="C67" s="61">
        <f t="shared" ref="C67:J67" si="30">$C18</f>
        <v>40</v>
      </c>
      <c r="D67" s="61">
        <f t="shared" si="30"/>
        <v>40</v>
      </c>
      <c r="E67" s="61">
        <f t="shared" si="30"/>
        <v>40</v>
      </c>
      <c r="F67" s="61">
        <f t="shared" si="30"/>
        <v>40</v>
      </c>
      <c r="G67" s="61">
        <f t="shared" si="30"/>
        <v>40</v>
      </c>
      <c r="H67" s="61">
        <f t="shared" si="30"/>
        <v>40</v>
      </c>
      <c r="I67" s="61">
        <f t="shared" si="30"/>
        <v>40</v>
      </c>
      <c r="J67" s="61">
        <f t="shared" si="30"/>
        <v>40</v>
      </c>
      <c r="L67" s="10"/>
      <c r="M67" s="10"/>
      <c r="O67" s="61">
        <f>$C18</f>
        <v>40</v>
      </c>
      <c r="P67" s="61">
        <f>$C18</f>
        <v>40</v>
      </c>
      <c r="Q67" s="61">
        <f>$C18</f>
        <v>40</v>
      </c>
      <c r="R67" s="61">
        <f>$C18</f>
        <v>40</v>
      </c>
    </row>
    <row r="68" spans="1:18" x14ac:dyDescent="0.25">
      <c r="A68" s="13" t="s">
        <v>161</v>
      </c>
      <c r="B68" s="13" t="s">
        <v>13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O68" s="21">
        <v>0</v>
      </c>
      <c r="P68" s="21">
        <v>0</v>
      </c>
      <c r="Q68" s="21">
        <v>0</v>
      </c>
      <c r="R68" s="21">
        <v>0</v>
      </c>
    </row>
    <row r="69" spans="1:18" x14ac:dyDescent="0.25">
      <c r="A69" s="13" t="s">
        <v>162</v>
      </c>
      <c r="B69" s="13" t="s">
        <v>13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O69" s="21">
        <v>0</v>
      </c>
      <c r="P69" s="21">
        <v>0</v>
      </c>
      <c r="Q69" s="21">
        <v>0</v>
      </c>
      <c r="R69" s="21">
        <v>0</v>
      </c>
    </row>
    <row r="70" spans="1:18" x14ac:dyDescent="0.25">
      <c r="A70" s="13" t="s">
        <v>163</v>
      </c>
      <c r="B70" s="13" t="s">
        <v>13</v>
      </c>
      <c r="C70" s="21">
        <v>-50</v>
      </c>
      <c r="D70" s="21">
        <v>-50</v>
      </c>
      <c r="E70" s="21">
        <v>-50</v>
      </c>
      <c r="F70" s="21">
        <v>-50</v>
      </c>
      <c r="G70" s="21">
        <v>-50</v>
      </c>
      <c r="H70" s="21">
        <v>-50</v>
      </c>
      <c r="I70" s="21">
        <v>-50</v>
      </c>
      <c r="J70" s="21">
        <v>-50</v>
      </c>
      <c r="O70" s="21">
        <v>-50</v>
      </c>
      <c r="P70" s="21">
        <v>-50</v>
      </c>
      <c r="Q70" s="21">
        <v>-50</v>
      </c>
      <c r="R70" s="21">
        <v>-50</v>
      </c>
    </row>
    <row r="71" spans="1:18" x14ac:dyDescent="0.25">
      <c r="A71" s="62" t="str">
        <f>A19</f>
        <v>Rear end</v>
      </c>
      <c r="B71" s="62" t="s">
        <v>10</v>
      </c>
      <c r="C71" s="61">
        <f t="shared" ref="C71:J71" si="31">$C19</f>
        <v>30</v>
      </c>
      <c r="D71" s="61">
        <f t="shared" si="31"/>
        <v>30</v>
      </c>
      <c r="E71" s="61">
        <f t="shared" si="31"/>
        <v>30</v>
      </c>
      <c r="F71" s="61">
        <f t="shared" si="31"/>
        <v>30</v>
      </c>
      <c r="G71" s="61">
        <f t="shared" si="31"/>
        <v>30</v>
      </c>
      <c r="H71" s="61">
        <f t="shared" si="31"/>
        <v>30</v>
      </c>
      <c r="I71" s="61">
        <f t="shared" si="31"/>
        <v>30</v>
      </c>
      <c r="J71" s="61">
        <f t="shared" si="31"/>
        <v>30</v>
      </c>
      <c r="O71" s="61">
        <f>$C19</f>
        <v>30</v>
      </c>
      <c r="P71" s="61">
        <f>$C19</f>
        <v>30</v>
      </c>
      <c r="Q71" s="61">
        <f>$C19</f>
        <v>30</v>
      </c>
      <c r="R71" s="61">
        <f>$C19</f>
        <v>30</v>
      </c>
    </row>
    <row r="72" spans="1:18" x14ac:dyDescent="0.25">
      <c r="A72" s="13" t="s">
        <v>164</v>
      </c>
      <c r="B72" s="13" t="s">
        <v>13</v>
      </c>
      <c r="C72" s="21">
        <f t="shared" ref="C72:J72" si="32">C38</f>
        <v>1200</v>
      </c>
      <c r="D72" s="21">
        <f t="shared" si="32"/>
        <v>1200</v>
      </c>
      <c r="E72" s="21">
        <f t="shared" si="32"/>
        <v>1200</v>
      </c>
      <c r="F72" s="21">
        <f t="shared" si="32"/>
        <v>1200</v>
      </c>
      <c r="G72" s="21">
        <f t="shared" si="32"/>
        <v>1400</v>
      </c>
      <c r="H72" s="21">
        <f t="shared" si="32"/>
        <v>1200</v>
      </c>
      <c r="I72" s="21">
        <f t="shared" si="32"/>
        <v>1200</v>
      </c>
      <c r="J72" s="21">
        <f t="shared" si="32"/>
        <v>1500</v>
      </c>
      <c r="O72" s="21">
        <f>O38</f>
        <v>1200</v>
      </c>
      <c r="P72" s="21">
        <f>P38</f>
        <v>1200</v>
      </c>
      <c r="Q72" s="21">
        <f>Q38</f>
        <v>1200</v>
      </c>
      <c r="R72" s="21">
        <f>R38</f>
        <v>1200</v>
      </c>
    </row>
    <row r="73" spans="1:18" x14ac:dyDescent="0.25">
      <c r="A73" s="13" t="s">
        <v>165</v>
      </c>
      <c r="B73" s="13" t="s">
        <v>13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O73" s="21">
        <v>0</v>
      </c>
      <c r="P73" s="21">
        <v>0</v>
      </c>
      <c r="Q73" s="21">
        <v>0</v>
      </c>
      <c r="R73" s="21">
        <v>0</v>
      </c>
    </row>
    <row r="74" spans="1:18" x14ac:dyDescent="0.25">
      <c r="A74" s="13" t="s">
        <v>166</v>
      </c>
      <c r="B74" s="13" t="s">
        <v>13</v>
      </c>
      <c r="C74" s="21">
        <v>12</v>
      </c>
      <c r="D74" s="21">
        <v>12</v>
      </c>
      <c r="E74" s="21">
        <v>12</v>
      </c>
      <c r="F74" s="21">
        <v>12</v>
      </c>
      <c r="G74" s="21">
        <v>12</v>
      </c>
      <c r="H74" s="21">
        <v>12</v>
      </c>
      <c r="I74" s="21">
        <v>12</v>
      </c>
      <c r="J74" s="21">
        <v>12</v>
      </c>
      <c r="O74" s="21">
        <v>12</v>
      </c>
      <c r="P74" s="21">
        <v>12</v>
      </c>
      <c r="Q74" s="21">
        <v>12</v>
      </c>
      <c r="R74" s="21">
        <v>12</v>
      </c>
    </row>
    <row r="75" spans="1:18" x14ac:dyDescent="0.25">
      <c r="A75" s="62" t="str">
        <f>A20</f>
        <v>power electronics</v>
      </c>
      <c r="B75" s="62" t="s">
        <v>10</v>
      </c>
      <c r="C75" s="61">
        <f t="shared" ref="C75:J75" si="33">$C20</f>
        <v>10</v>
      </c>
      <c r="D75" s="61">
        <f t="shared" si="33"/>
        <v>10</v>
      </c>
      <c r="E75" s="61">
        <f t="shared" si="33"/>
        <v>10</v>
      </c>
      <c r="F75" s="61">
        <f t="shared" si="33"/>
        <v>10</v>
      </c>
      <c r="G75" s="61">
        <f t="shared" si="33"/>
        <v>10</v>
      </c>
      <c r="H75" s="61">
        <f t="shared" si="33"/>
        <v>10</v>
      </c>
      <c r="I75" s="61">
        <f t="shared" si="33"/>
        <v>10</v>
      </c>
      <c r="J75" s="61">
        <f t="shared" si="33"/>
        <v>10</v>
      </c>
      <c r="O75" s="61">
        <f>$C20</f>
        <v>10</v>
      </c>
      <c r="P75" s="61">
        <f>$C20</f>
        <v>10</v>
      </c>
      <c r="Q75" s="61">
        <f>$C20</f>
        <v>10</v>
      </c>
      <c r="R75" s="61">
        <f>$C20</f>
        <v>10</v>
      </c>
    </row>
    <row r="76" spans="1:18" x14ac:dyDescent="0.25">
      <c r="A76" s="13" t="s">
        <v>164</v>
      </c>
      <c r="B76" s="13" t="s">
        <v>13</v>
      </c>
      <c r="C76" s="21">
        <f t="shared" ref="C76:J76" si="34">C38-600</f>
        <v>600</v>
      </c>
      <c r="D76" s="21">
        <f t="shared" si="34"/>
        <v>600</v>
      </c>
      <c r="E76" s="21">
        <f t="shared" si="34"/>
        <v>600</v>
      </c>
      <c r="F76" s="21">
        <f t="shared" si="34"/>
        <v>600</v>
      </c>
      <c r="G76" s="21">
        <f t="shared" si="34"/>
        <v>800</v>
      </c>
      <c r="H76" s="21">
        <f t="shared" si="34"/>
        <v>600</v>
      </c>
      <c r="I76" s="21">
        <f t="shared" si="34"/>
        <v>600</v>
      </c>
      <c r="J76" s="21">
        <f t="shared" si="34"/>
        <v>900</v>
      </c>
      <c r="O76" s="21">
        <f>O38-600</f>
        <v>600</v>
      </c>
      <c r="P76" s="21">
        <f>P38-600</f>
        <v>600</v>
      </c>
      <c r="Q76" s="21">
        <f>Q38-600</f>
        <v>600</v>
      </c>
      <c r="R76" s="21">
        <f>R38-600</f>
        <v>600</v>
      </c>
    </row>
    <row r="77" spans="1:18" x14ac:dyDescent="0.25">
      <c r="A77" s="13" t="s">
        <v>165</v>
      </c>
      <c r="B77" s="13" t="s">
        <v>13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O77" s="21">
        <v>0</v>
      </c>
      <c r="P77" s="21">
        <v>0</v>
      </c>
      <c r="Q77" s="21">
        <v>0</v>
      </c>
      <c r="R77" s="21">
        <v>0</v>
      </c>
    </row>
    <row r="78" spans="1:18" x14ac:dyDescent="0.25">
      <c r="A78" s="13" t="s">
        <v>166</v>
      </c>
      <c r="B78" s="13" t="s">
        <v>13</v>
      </c>
      <c r="C78" s="21">
        <v>160</v>
      </c>
      <c r="D78" s="21">
        <v>160</v>
      </c>
      <c r="E78" s="21">
        <v>160</v>
      </c>
      <c r="F78" s="21">
        <v>160</v>
      </c>
      <c r="G78" s="21">
        <v>160</v>
      </c>
      <c r="H78" s="21">
        <v>160</v>
      </c>
      <c r="I78" s="21">
        <v>160</v>
      </c>
      <c r="J78" s="21">
        <v>160</v>
      </c>
      <c r="O78" s="21">
        <v>160</v>
      </c>
      <c r="P78" s="21">
        <v>160</v>
      </c>
      <c r="Q78" s="21">
        <v>160</v>
      </c>
      <c r="R78" s="21">
        <v>160</v>
      </c>
    </row>
    <row r="79" spans="1:18" x14ac:dyDescent="0.25">
      <c r="A79" s="62" t="str">
        <f>A21</f>
        <v>cargo structure</v>
      </c>
      <c r="B79" s="62" t="s">
        <v>10</v>
      </c>
      <c r="C79" s="61">
        <f t="shared" ref="C79:J79" si="35">$C21</f>
        <v>20</v>
      </c>
      <c r="D79" s="61">
        <f t="shared" si="35"/>
        <v>20</v>
      </c>
      <c r="E79" s="61">
        <f t="shared" si="35"/>
        <v>20</v>
      </c>
      <c r="F79" s="61">
        <f t="shared" si="35"/>
        <v>20</v>
      </c>
      <c r="G79" s="61">
        <f t="shared" si="35"/>
        <v>20</v>
      </c>
      <c r="H79" s="61">
        <f t="shared" si="35"/>
        <v>20</v>
      </c>
      <c r="I79" s="61">
        <f t="shared" si="35"/>
        <v>20</v>
      </c>
      <c r="J79" s="61">
        <f t="shared" si="35"/>
        <v>20</v>
      </c>
      <c r="O79" s="61">
        <f>$C21</f>
        <v>20</v>
      </c>
      <c r="P79" s="61">
        <f>$C21</f>
        <v>20</v>
      </c>
      <c r="Q79" s="61">
        <f>$C21</f>
        <v>20</v>
      </c>
      <c r="R79" s="61">
        <f>$C21</f>
        <v>20</v>
      </c>
    </row>
    <row r="80" spans="1:18" x14ac:dyDescent="0.25">
      <c r="A80" s="13" t="s">
        <v>164</v>
      </c>
      <c r="B80" s="13" t="s">
        <v>13</v>
      </c>
      <c r="C80" s="21">
        <f t="shared" ref="C80:J80" si="36">(C46+100)/2+front_overhang</f>
        <v>600</v>
      </c>
      <c r="D80" s="21">
        <f t="shared" si="36"/>
        <v>600</v>
      </c>
      <c r="E80" s="21">
        <f t="shared" si="36"/>
        <v>600</v>
      </c>
      <c r="F80" s="21">
        <f t="shared" si="36"/>
        <v>600</v>
      </c>
      <c r="G80" s="21">
        <f t="shared" si="36"/>
        <v>600</v>
      </c>
      <c r="H80" s="21">
        <f t="shared" si="36"/>
        <v>600</v>
      </c>
      <c r="I80" s="21">
        <f t="shared" si="36"/>
        <v>600</v>
      </c>
      <c r="J80" s="21">
        <f t="shared" si="36"/>
        <v>600</v>
      </c>
      <c r="O80" s="21">
        <f>O46/2+front_overhang</f>
        <v>550</v>
      </c>
      <c r="P80" s="21">
        <f>P46/2+front_overhang</f>
        <v>550</v>
      </c>
      <c r="Q80" s="21">
        <f>Q46/2+front_overhang</f>
        <v>550</v>
      </c>
      <c r="R80" s="21">
        <f>R46/2+front_overhang</f>
        <v>550</v>
      </c>
    </row>
    <row r="81" spans="1:18" x14ac:dyDescent="0.25">
      <c r="A81" s="13" t="s">
        <v>165</v>
      </c>
      <c r="B81" s="13" t="s">
        <v>13</v>
      </c>
      <c r="C81" s="21">
        <v>0</v>
      </c>
      <c r="D81" s="21">
        <v>1</v>
      </c>
      <c r="E81" s="21">
        <v>2</v>
      </c>
      <c r="F81" s="21">
        <v>3</v>
      </c>
      <c r="G81" s="21">
        <v>4</v>
      </c>
      <c r="H81" s="21">
        <v>5</v>
      </c>
      <c r="I81" s="21">
        <v>6</v>
      </c>
      <c r="J81" s="21">
        <v>7</v>
      </c>
      <c r="O81" s="21">
        <v>7</v>
      </c>
      <c r="P81" s="21">
        <v>8</v>
      </c>
      <c r="Q81" s="21">
        <v>9</v>
      </c>
      <c r="R81" s="21">
        <v>10</v>
      </c>
    </row>
    <row r="82" spans="1:18" x14ac:dyDescent="0.25">
      <c r="A82" s="13" t="s">
        <v>166</v>
      </c>
      <c r="B82" s="13" t="s">
        <v>13</v>
      </c>
      <c r="C82" s="21">
        <f t="shared" ref="C82:J82" si="37">100+C45</f>
        <v>700</v>
      </c>
      <c r="D82" s="21">
        <f t="shared" si="37"/>
        <v>700</v>
      </c>
      <c r="E82" s="21">
        <f t="shared" si="37"/>
        <v>750</v>
      </c>
      <c r="F82" s="21">
        <f t="shared" si="37"/>
        <v>750</v>
      </c>
      <c r="G82" s="21">
        <f t="shared" si="37"/>
        <v>750</v>
      </c>
      <c r="H82" s="21">
        <f t="shared" si="37"/>
        <v>750</v>
      </c>
      <c r="I82" s="21">
        <f t="shared" si="37"/>
        <v>750</v>
      </c>
      <c r="J82" s="21">
        <f t="shared" si="37"/>
        <v>750</v>
      </c>
      <c r="O82" s="21">
        <f>O52/2*1000+O45</f>
        <v>1176.5</v>
      </c>
      <c r="P82" s="21">
        <f>P52/2*1000+P45</f>
        <v>1176.5</v>
      </c>
      <c r="Q82" s="21">
        <f>Q52/2*1000+Q45</f>
        <v>1302</v>
      </c>
      <c r="R82" s="21">
        <f>R52/2*1000+R45</f>
        <v>1302</v>
      </c>
    </row>
    <row r="83" spans="1:18" x14ac:dyDescent="0.25">
      <c r="A83" s="62" t="str">
        <f>A22</f>
        <v>chassis</v>
      </c>
      <c r="B83" s="62" t="s">
        <v>10</v>
      </c>
      <c r="C83" s="61">
        <f t="shared" ref="C83:J83" si="38">$C22</f>
        <v>20</v>
      </c>
      <c r="D83" s="61">
        <f t="shared" si="38"/>
        <v>20</v>
      </c>
      <c r="E83" s="61">
        <f t="shared" si="38"/>
        <v>20</v>
      </c>
      <c r="F83" s="61">
        <f t="shared" si="38"/>
        <v>20</v>
      </c>
      <c r="G83" s="61">
        <f t="shared" si="38"/>
        <v>20</v>
      </c>
      <c r="H83" s="61">
        <f t="shared" si="38"/>
        <v>20</v>
      </c>
      <c r="I83" s="61">
        <f t="shared" si="38"/>
        <v>20</v>
      </c>
      <c r="J83" s="61">
        <f t="shared" si="38"/>
        <v>20</v>
      </c>
      <c r="O83" s="61">
        <f>$C22</f>
        <v>20</v>
      </c>
      <c r="P83" s="61">
        <f>$C22</f>
        <v>20</v>
      </c>
      <c r="Q83" s="61">
        <f>$C22</f>
        <v>20</v>
      </c>
      <c r="R83" s="61">
        <f>$C22</f>
        <v>20</v>
      </c>
    </row>
    <row r="84" spans="1:18" x14ac:dyDescent="0.25">
      <c r="A84" s="13" t="s">
        <v>164</v>
      </c>
      <c r="B84" s="13" t="s">
        <v>13</v>
      </c>
      <c r="C84" s="21">
        <f t="shared" ref="C84:J84" si="39">(C46-600)/2+front_overhang</f>
        <v>250</v>
      </c>
      <c r="D84" s="21">
        <f t="shared" si="39"/>
        <v>250</v>
      </c>
      <c r="E84" s="21">
        <f t="shared" si="39"/>
        <v>250</v>
      </c>
      <c r="F84" s="21">
        <f t="shared" si="39"/>
        <v>250</v>
      </c>
      <c r="G84" s="21">
        <f t="shared" si="39"/>
        <v>250</v>
      </c>
      <c r="H84" s="21">
        <f t="shared" si="39"/>
        <v>250</v>
      </c>
      <c r="I84" s="21">
        <f t="shared" si="39"/>
        <v>250</v>
      </c>
      <c r="J84" s="21">
        <f t="shared" si="39"/>
        <v>250</v>
      </c>
      <c r="O84" s="21">
        <f>(O46-600)/2+front_overhang</f>
        <v>250</v>
      </c>
      <c r="P84" s="21">
        <f>(P46-600)/2+front_overhang</f>
        <v>250</v>
      </c>
      <c r="Q84" s="21">
        <f>(Q46-600)/2+front_overhang</f>
        <v>250</v>
      </c>
      <c r="R84" s="21">
        <f>(R46-600)/2+front_overhang</f>
        <v>250</v>
      </c>
    </row>
    <row r="85" spans="1:18" x14ac:dyDescent="0.25">
      <c r="A85" s="13" t="s">
        <v>165</v>
      </c>
      <c r="B85" s="13" t="s">
        <v>13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O85" s="21">
        <v>0</v>
      </c>
      <c r="P85" s="21">
        <v>0</v>
      </c>
      <c r="Q85" s="21">
        <v>0</v>
      </c>
      <c r="R85" s="21">
        <v>0</v>
      </c>
    </row>
    <row r="86" spans="1:18" x14ac:dyDescent="0.25">
      <c r="A86" s="13" t="s">
        <v>166</v>
      </c>
      <c r="B86" s="13" t="s">
        <v>13</v>
      </c>
      <c r="C86" s="21">
        <v>10</v>
      </c>
      <c r="D86" s="21">
        <v>10</v>
      </c>
      <c r="E86" s="21">
        <v>10</v>
      </c>
      <c r="F86" s="21">
        <v>10</v>
      </c>
      <c r="G86" s="21">
        <v>10</v>
      </c>
      <c r="H86" s="21">
        <v>10</v>
      </c>
      <c r="I86" s="21">
        <v>10</v>
      </c>
      <c r="J86" s="21">
        <v>10</v>
      </c>
      <c r="O86" s="21">
        <v>10</v>
      </c>
      <c r="P86" s="21">
        <v>10</v>
      </c>
      <c r="Q86" s="21">
        <v>10</v>
      </c>
      <c r="R86" s="21">
        <v>10</v>
      </c>
    </row>
    <row r="87" spans="1:18" x14ac:dyDescent="0.25">
      <c r="A87" s="62" t="str">
        <f>A23</f>
        <v>glider mass (total fixed weight)</v>
      </c>
      <c r="B87" s="62" t="s">
        <v>10</v>
      </c>
      <c r="C87" s="61">
        <f t="shared" ref="C87:J87" si="40">kerb_weight</f>
        <v>120</v>
      </c>
      <c r="D87" s="61">
        <f t="shared" si="40"/>
        <v>120</v>
      </c>
      <c r="E87" s="61">
        <f t="shared" si="40"/>
        <v>120</v>
      </c>
      <c r="F87" s="61">
        <f t="shared" si="40"/>
        <v>120</v>
      </c>
      <c r="G87" s="61">
        <f t="shared" si="40"/>
        <v>120</v>
      </c>
      <c r="H87" s="61">
        <f t="shared" si="40"/>
        <v>120</v>
      </c>
      <c r="I87" s="61">
        <f t="shared" si="40"/>
        <v>120</v>
      </c>
      <c r="J87" s="61">
        <f t="shared" si="40"/>
        <v>120</v>
      </c>
      <c r="O87" s="61">
        <f>kerb_weight</f>
        <v>120</v>
      </c>
      <c r="P87" s="61">
        <f>kerb_weight</f>
        <v>120</v>
      </c>
      <c r="Q87" s="61">
        <f>kerb_weight</f>
        <v>120</v>
      </c>
      <c r="R87" s="61">
        <f>kerb_weight</f>
        <v>120</v>
      </c>
    </row>
    <row r="88" spans="1:18" x14ac:dyDescent="0.25">
      <c r="A88" s="13" t="s">
        <v>164</v>
      </c>
      <c r="B88" s="13" t="s">
        <v>13</v>
      </c>
      <c r="C88" s="60">
        <f>(C67*C68+C71*C72+C75*C76+C79*C80+C84*C83)/C87</f>
        <v>491.66666666666669</v>
      </c>
      <c r="D88" s="60">
        <f t="shared" ref="D88:J88" si="41">(D67*D68+D71*D72+D75*D76+D79*D80+D84*D83)/D87</f>
        <v>491.66666666666669</v>
      </c>
      <c r="E88" s="60">
        <f t="shared" si="41"/>
        <v>491.66666666666669</v>
      </c>
      <c r="F88" s="60">
        <f t="shared" si="41"/>
        <v>491.66666666666669</v>
      </c>
      <c r="G88" s="60">
        <f t="shared" si="41"/>
        <v>558.33333333333337</v>
      </c>
      <c r="H88" s="60">
        <f t="shared" si="41"/>
        <v>491.66666666666669</v>
      </c>
      <c r="I88" s="60">
        <f t="shared" si="41"/>
        <v>491.66666666666669</v>
      </c>
      <c r="J88" s="60">
        <f t="shared" si="41"/>
        <v>591.66666666666663</v>
      </c>
      <c r="O88" s="60">
        <f t="shared" ref="O88" si="42">(O67*O68+O71*O72+O75*O76+O79*O80+O84*O83)/O87</f>
        <v>483.33333333333331</v>
      </c>
      <c r="P88" s="60">
        <f t="shared" ref="P88" si="43">(P67*P68+P71*P72+P75*P76+P79*P80+P84*P83)/P87</f>
        <v>483.33333333333331</v>
      </c>
      <c r="Q88" s="60">
        <f t="shared" ref="Q88" si="44">(Q67*Q68+Q71*Q72+Q75*Q76+Q79*Q80+Q84*Q83)/Q87</f>
        <v>483.33333333333331</v>
      </c>
      <c r="R88" s="60">
        <f t="shared" ref="R88" si="45">(R67*R68+R71*R72+R75*R76+R79*R80+R84*R83)/R87</f>
        <v>483.33333333333331</v>
      </c>
    </row>
    <row r="89" spans="1:18" x14ac:dyDescent="0.25">
      <c r="A89" s="13" t="s">
        <v>165</v>
      </c>
      <c r="B89" s="13" t="s">
        <v>13</v>
      </c>
      <c r="C89" s="21">
        <v>0</v>
      </c>
      <c r="D89" s="21">
        <v>1</v>
      </c>
      <c r="E89" s="21">
        <v>2</v>
      </c>
      <c r="F89" s="21">
        <v>3</v>
      </c>
      <c r="G89" s="21">
        <v>4</v>
      </c>
      <c r="H89" s="21">
        <v>5</v>
      </c>
      <c r="I89" s="21">
        <v>6</v>
      </c>
      <c r="J89" s="21">
        <v>7</v>
      </c>
      <c r="O89" s="21">
        <v>7</v>
      </c>
      <c r="P89" s="21">
        <v>8</v>
      </c>
      <c r="Q89" s="21">
        <v>9</v>
      </c>
      <c r="R89" s="21">
        <v>10</v>
      </c>
    </row>
    <row r="90" spans="1:18" x14ac:dyDescent="0.25">
      <c r="A90" s="13" t="s">
        <v>166</v>
      </c>
      <c r="B90" s="13" t="s">
        <v>13</v>
      </c>
      <c r="C90" s="60">
        <f>(C67*C70+C71*C74+C75*C78+C79*C82+C86*C83)/C87</f>
        <v>118</v>
      </c>
      <c r="D90" s="60">
        <f t="shared" ref="D90:I90" si="46">(D67*D70+D71*D74+D75*D78+D79*D82+D86*D83)/D87</f>
        <v>118</v>
      </c>
      <c r="E90" s="60">
        <f t="shared" si="46"/>
        <v>126.33333333333333</v>
      </c>
      <c r="F90" s="60">
        <f t="shared" si="46"/>
        <v>126.33333333333333</v>
      </c>
      <c r="G90" s="60">
        <f t="shared" si="46"/>
        <v>126.33333333333333</v>
      </c>
      <c r="H90" s="60">
        <f t="shared" si="46"/>
        <v>126.33333333333333</v>
      </c>
      <c r="I90" s="60">
        <f t="shared" si="46"/>
        <v>126.33333333333333</v>
      </c>
      <c r="J90" s="60">
        <f t="shared" ref="J90" si="47">(J67*J70+J71*J74+J75*J78+J79*J82+J86*J83)/J87</f>
        <v>126.33333333333333</v>
      </c>
      <c r="O90" s="60">
        <f t="shared" ref="O90:R90" si="48">(O67*O70+O71*O74+O75*O78+O79*O82+O86*O83)/O87</f>
        <v>197.41666666666666</v>
      </c>
      <c r="P90" s="60">
        <f t="shared" si="48"/>
        <v>197.41666666666666</v>
      </c>
      <c r="Q90" s="60">
        <f t="shared" si="48"/>
        <v>218.33333333333334</v>
      </c>
      <c r="R90" s="60">
        <f t="shared" si="48"/>
        <v>218.33333333333334</v>
      </c>
    </row>
    <row r="91" spans="1:18" x14ac:dyDescent="0.25">
      <c r="A91" s="62" t="s">
        <v>167</v>
      </c>
      <c r="B91" s="62" t="s">
        <v>10</v>
      </c>
      <c r="C91" s="126">
        <f t="shared" ref="C91:J91" si="49">C35/specific_energy*1000</f>
        <v>20.123456790123459</v>
      </c>
      <c r="D91" s="126">
        <f t="shared" si="49"/>
        <v>37.666666666666664</v>
      </c>
      <c r="E91" s="126">
        <f t="shared" si="49"/>
        <v>33.052469135802468</v>
      </c>
      <c r="F91" s="126">
        <f t="shared" si="49"/>
        <v>62.099444444444444</v>
      </c>
      <c r="G91" s="126">
        <f t="shared" si="49"/>
        <v>115.7148148148148</v>
      </c>
      <c r="H91" s="126">
        <f t="shared" si="49"/>
        <v>37.47530864197531</v>
      </c>
      <c r="I91" s="126">
        <f t="shared" si="49"/>
        <v>75.677777777777763</v>
      </c>
      <c r="J91" s="126">
        <f t="shared" si="49"/>
        <v>142.59259259259258</v>
      </c>
      <c r="O91" s="126">
        <f>O35/specific_energy*1000</f>
        <v>26.888888888888889</v>
      </c>
      <c r="P91" s="126">
        <f>P35/specific_energy*1000</f>
        <v>38.580246913580247</v>
      </c>
      <c r="Q91" s="126">
        <f>Q35/specific_energy*1000</f>
        <v>33.666666666666664</v>
      </c>
      <c r="R91" s="126">
        <f>R35/specific_energy*1000</f>
        <v>50.154320987654316</v>
      </c>
    </row>
    <row r="92" spans="1:18" x14ac:dyDescent="0.25">
      <c r="A92" s="13" t="s">
        <v>164</v>
      </c>
      <c r="B92" s="13" t="s">
        <v>13</v>
      </c>
      <c r="C92" s="21">
        <f t="shared" ref="C92:J92" si="50">300+100+(C42/2)</f>
        <v>550</v>
      </c>
      <c r="D92" s="21">
        <f t="shared" si="50"/>
        <v>550</v>
      </c>
      <c r="E92" s="21">
        <f t="shared" si="50"/>
        <v>550</v>
      </c>
      <c r="F92" s="21">
        <f t="shared" si="50"/>
        <v>550</v>
      </c>
      <c r="G92" s="21">
        <f t="shared" si="50"/>
        <v>650</v>
      </c>
      <c r="H92" s="21">
        <f t="shared" si="50"/>
        <v>550</v>
      </c>
      <c r="I92" s="21">
        <f t="shared" si="50"/>
        <v>550</v>
      </c>
      <c r="J92" s="21">
        <f t="shared" si="50"/>
        <v>700</v>
      </c>
      <c r="O92" s="21">
        <f>300+100+(O42/2)</f>
        <v>550</v>
      </c>
      <c r="P92" s="21">
        <f>300+100+(P42/2)</f>
        <v>550</v>
      </c>
      <c r="Q92" s="21">
        <f>300+100+(Q42/2)</f>
        <v>550</v>
      </c>
      <c r="R92" s="21">
        <f>300+100+(R42/2)</f>
        <v>550</v>
      </c>
    </row>
    <row r="93" spans="1:18" x14ac:dyDescent="0.25">
      <c r="A93" s="13" t="s">
        <v>165</v>
      </c>
      <c r="B93" s="13" t="s">
        <v>13</v>
      </c>
      <c r="C93" s="21">
        <v>0</v>
      </c>
      <c r="D93" s="21">
        <v>1</v>
      </c>
      <c r="E93" s="21">
        <v>2</v>
      </c>
      <c r="F93" s="21">
        <v>3</v>
      </c>
      <c r="G93" s="21">
        <v>4</v>
      </c>
      <c r="H93" s="21">
        <v>5</v>
      </c>
      <c r="I93" s="21">
        <v>6</v>
      </c>
      <c r="J93" s="21">
        <v>7</v>
      </c>
      <c r="O93" s="21">
        <v>7</v>
      </c>
      <c r="P93" s="21">
        <v>8</v>
      </c>
      <c r="Q93" s="21">
        <v>9</v>
      </c>
      <c r="R93" s="21">
        <v>10</v>
      </c>
    </row>
    <row r="94" spans="1:18" x14ac:dyDescent="0.25">
      <c r="A94" s="13" t="s">
        <v>166</v>
      </c>
      <c r="B94" s="13" t="s">
        <v>13</v>
      </c>
      <c r="C94" s="21">
        <f t="shared" ref="C94:J94" si="51">C44</f>
        <v>-32.5</v>
      </c>
      <c r="D94" s="21">
        <f t="shared" si="51"/>
        <v>5</v>
      </c>
      <c r="E94" s="21">
        <f t="shared" si="51"/>
        <v>5</v>
      </c>
      <c r="F94" s="21">
        <f t="shared" si="51"/>
        <v>42.5</v>
      </c>
      <c r="G94" s="21">
        <f t="shared" si="51"/>
        <v>42.5</v>
      </c>
      <c r="H94" s="21">
        <f t="shared" si="51"/>
        <v>5</v>
      </c>
      <c r="I94" s="21">
        <f t="shared" si="51"/>
        <v>42.5</v>
      </c>
      <c r="J94" s="21">
        <f t="shared" si="51"/>
        <v>42.5</v>
      </c>
      <c r="O94" s="21">
        <f>O44</f>
        <v>-32.5</v>
      </c>
      <c r="P94" s="21">
        <f>P44</f>
        <v>5</v>
      </c>
      <c r="Q94" s="21">
        <f>Q44</f>
        <v>5</v>
      </c>
      <c r="R94" s="21">
        <f>R44</f>
        <v>5</v>
      </c>
    </row>
    <row r="95" spans="1:18" x14ac:dyDescent="0.25">
      <c r="A95" s="62" t="s">
        <v>168</v>
      </c>
      <c r="B95" s="62" t="s">
        <v>10</v>
      </c>
      <c r="C95" s="126">
        <f t="shared" ref="C95:J95" si="52">C30*cargo_SW</f>
        <v>100</v>
      </c>
      <c r="D95" s="126">
        <f t="shared" si="52"/>
        <v>100</v>
      </c>
      <c r="E95" s="126">
        <f t="shared" si="52"/>
        <v>200</v>
      </c>
      <c r="F95" s="126">
        <f t="shared" si="52"/>
        <v>200</v>
      </c>
      <c r="G95" s="126">
        <f t="shared" si="52"/>
        <v>200</v>
      </c>
      <c r="H95" s="126">
        <f t="shared" si="52"/>
        <v>300</v>
      </c>
      <c r="I95" s="126">
        <f t="shared" si="52"/>
        <v>300</v>
      </c>
      <c r="J95" s="126">
        <f t="shared" si="52"/>
        <v>300</v>
      </c>
      <c r="O95" s="126">
        <f>O30*cargo_SW</f>
        <v>200</v>
      </c>
      <c r="P95" s="126">
        <f>P30*cargo_SW</f>
        <v>200</v>
      </c>
      <c r="Q95" s="126">
        <f>Q30*cargo_SW</f>
        <v>300</v>
      </c>
      <c r="R95" s="126">
        <f>R30*cargo_SW</f>
        <v>300</v>
      </c>
    </row>
    <row r="96" spans="1:18" x14ac:dyDescent="0.25">
      <c r="A96" s="13" t="s">
        <v>164</v>
      </c>
      <c r="B96" s="13" t="s">
        <v>13</v>
      </c>
      <c r="C96" s="21">
        <f t="shared" ref="C96:I96" si="53">C80-50</f>
        <v>550</v>
      </c>
      <c r="D96" s="21">
        <f t="shared" si="53"/>
        <v>550</v>
      </c>
      <c r="E96" s="21">
        <f t="shared" si="53"/>
        <v>550</v>
      </c>
      <c r="F96" s="21">
        <f t="shared" si="53"/>
        <v>550</v>
      </c>
      <c r="G96" s="21">
        <f t="shared" si="53"/>
        <v>550</v>
      </c>
      <c r="H96" s="21">
        <f t="shared" si="53"/>
        <v>550</v>
      </c>
      <c r="I96" s="21">
        <f t="shared" si="53"/>
        <v>550</v>
      </c>
      <c r="J96" s="21">
        <f>J80-50</f>
        <v>550</v>
      </c>
      <c r="O96" s="21">
        <f t="shared" ref="O96:R96" si="54">O80</f>
        <v>550</v>
      </c>
      <c r="P96" s="21">
        <f t="shared" si="54"/>
        <v>550</v>
      </c>
      <c r="Q96" s="21">
        <f t="shared" si="54"/>
        <v>550</v>
      </c>
      <c r="R96" s="21">
        <f t="shared" si="54"/>
        <v>550</v>
      </c>
    </row>
    <row r="97" spans="1:18" x14ac:dyDescent="0.25">
      <c r="A97" s="13" t="s">
        <v>165</v>
      </c>
      <c r="B97" s="13" t="s">
        <v>13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O97" s="21">
        <v>0</v>
      </c>
      <c r="P97" s="21">
        <v>0</v>
      </c>
      <c r="Q97" s="21">
        <v>0</v>
      </c>
      <c r="R97" s="21">
        <v>0</v>
      </c>
    </row>
    <row r="98" spans="1:18" x14ac:dyDescent="0.25">
      <c r="A98" s="13" t="s">
        <v>166</v>
      </c>
      <c r="B98" s="13" t="s">
        <v>13</v>
      </c>
      <c r="C98" s="60">
        <f>C52/3*1000+C45</f>
        <v>850.66666666666663</v>
      </c>
      <c r="D98" s="60">
        <f t="shared" ref="D98:J98" si="55">D52/3*1000+D45</f>
        <v>850.66666666666663</v>
      </c>
      <c r="E98" s="60">
        <f t="shared" si="55"/>
        <v>1001</v>
      </c>
      <c r="F98" s="60">
        <f t="shared" si="55"/>
        <v>1001</v>
      </c>
      <c r="G98" s="60">
        <f t="shared" si="55"/>
        <v>1001</v>
      </c>
      <c r="H98" s="60">
        <f t="shared" si="55"/>
        <v>1084.6666666666667</v>
      </c>
      <c r="I98" s="60">
        <f t="shared" si="55"/>
        <v>1084.6666666666667</v>
      </c>
      <c r="J98" s="60">
        <f t="shared" si="55"/>
        <v>1084.6666666666667</v>
      </c>
      <c r="O98" s="60">
        <f>O52/3*1000+O45</f>
        <v>1001</v>
      </c>
      <c r="P98" s="60">
        <f>P52/3*1000+P45</f>
        <v>1001</v>
      </c>
      <c r="Q98" s="60">
        <f>Q52/3*1000+Q45</f>
        <v>1084.6666666666667</v>
      </c>
      <c r="R98" s="60">
        <f>R52/3*1000+R45</f>
        <v>1084.6666666666667</v>
      </c>
    </row>
    <row r="99" spans="1:18" x14ac:dyDescent="0.25">
      <c r="A99" s="62" t="s">
        <v>264</v>
      </c>
      <c r="B99" s="62" t="s">
        <v>10</v>
      </c>
      <c r="C99" s="126">
        <f>C87+C91+C95</f>
        <v>240.12345679012347</v>
      </c>
      <c r="D99" s="126">
        <f t="shared" ref="D99:I99" si="56">D87+D91+D95</f>
        <v>257.66666666666663</v>
      </c>
      <c r="E99" s="126">
        <f t="shared" si="56"/>
        <v>353.05246913580248</v>
      </c>
      <c r="F99" s="126">
        <f t="shared" si="56"/>
        <v>382.09944444444443</v>
      </c>
      <c r="G99" s="126">
        <f t="shared" si="56"/>
        <v>435.71481481481482</v>
      </c>
      <c r="H99" s="126">
        <f t="shared" si="56"/>
        <v>457.47530864197529</v>
      </c>
      <c r="I99" s="126">
        <f t="shared" si="56"/>
        <v>495.67777777777775</v>
      </c>
      <c r="J99" s="126">
        <f t="shared" ref="J99" si="57">J87+J91+J95</f>
        <v>562.59259259259261</v>
      </c>
      <c r="O99" s="126">
        <f t="shared" ref="O99:R99" si="58">O87+O91+O95</f>
        <v>346.88888888888891</v>
      </c>
      <c r="P99" s="126">
        <f t="shared" si="58"/>
        <v>358.58024691358025</v>
      </c>
      <c r="Q99" s="126">
        <f t="shared" si="58"/>
        <v>453.66666666666663</v>
      </c>
      <c r="R99" s="126">
        <f t="shared" si="58"/>
        <v>470.15432098765433</v>
      </c>
    </row>
    <row r="100" spans="1:18" x14ac:dyDescent="0.25">
      <c r="A100" s="13" t="s">
        <v>164</v>
      </c>
      <c r="B100" s="13" t="s">
        <v>13</v>
      </c>
      <c r="C100" s="60">
        <f>(C87*C88+C91*C92+C96*C95)/C99</f>
        <v>520.8483290488432</v>
      </c>
      <c r="D100" s="60">
        <f t="shared" ref="D100:J100" si="59">(D87*D88+D91*D92+D96*D95)/D99</f>
        <v>522.83311772315653</v>
      </c>
      <c r="E100" s="60">
        <f t="shared" si="59"/>
        <v>530.17291872470253</v>
      </c>
      <c r="F100" s="60">
        <f t="shared" si="59"/>
        <v>531.68016179615836</v>
      </c>
      <c r="G100" s="60">
        <f>(G87*G88+G91*G92+G96*G95)/G99</f>
        <v>578.85254541281665</v>
      </c>
      <c r="H100" s="60">
        <f t="shared" si="59"/>
        <v>534.69862773407453</v>
      </c>
      <c r="I100" s="60">
        <f t="shared" si="59"/>
        <v>535.87792248548567</v>
      </c>
      <c r="J100" s="60">
        <f t="shared" si="59"/>
        <v>596.90585911784069</v>
      </c>
      <c r="O100" s="60">
        <f t="shared" ref="O100" si="60">(O87*O88+O91*O92+O96*O95)/O99</f>
        <v>526.93786034593199</v>
      </c>
      <c r="P100" s="60">
        <f t="shared" ref="P100" si="61">(P87*P88+P91*P92+P96*P95)/P99</f>
        <v>527.68979170253056</v>
      </c>
      <c r="Q100" s="60">
        <f t="shared" ref="Q100" si="62">(Q87*Q88+Q91*Q92+Q96*Q95)/Q99</f>
        <v>532.36590742101396</v>
      </c>
      <c r="R100" s="60">
        <f t="shared" ref="R100" si="63">(R87*R88+R91*R92+R96*R95)/R99</f>
        <v>532.98431037878288</v>
      </c>
    </row>
    <row r="101" spans="1:18" x14ac:dyDescent="0.25">
      <c r="A101" s="13" t="s">
        <v>165</v>
      </c>
      <c r="B101" s="13" t="s">
        <v>13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1</v>
      </c>
      <c r="O101" s="21">
        <v>1</v>
      </c>
      <c r="P101" s="21">
        <v>2</v>
      </c>
      <c r="Q101" s="21">
        <v>3</v>
      </c>
      <c r="R101" s="21">
        <v>4</v>
      </c>
    </row>
    <row r="102" spans="1:18" x14ac:dyDescent="0.25">
      <c r="A102" s="13" t="s">
        <v>166</v>
      </c>
      <c r="B102" s="13" t="s">
        <v>13</v>
      </c>
      <c r="C102" s="60">
        <f>(C87*C90+C91*C94+C98*C95)/C99</f>
        <v>410.50822622107961</v>
      </c>
      <c r="D102" s="60">
        <f t="shared" ref="D102:I102" si="64">(D87*D90+D91*D94+D98*D95)/D99</f>
        <v>385.82794307891334</v>
      </c>
      <c r="E102" s="60">
        <f t="shared" si="64"/>
        <v>610.4624133439404</v>
      </c>
      <c r="F102" s="60">
        <f t="shared" si="64"/>
        <v>570.53007942958425</v>
      </c>
      <c r="G102" s="60">
        <f t="shared" si="64"/>
        <v>505.55517540355146</v>
      </c>
      <c r="H102" s="60">
        <f>(H87*H90+H91*H94+H98*H95)/H99</f>
        <v>744.84320816073193</v>
      </c>
      <c r="I102" s="60">
        <f t="shared" si="64"/>
        <v>693.5479478155612</v>
      </c>
      <c r="J102" s="60">
        <f t="shared" ref="J102" si="65">(J87*J90+J91*J94+J98*J95)/J99</f>
        <v>616.11224489795916</v>
      </c>
      <c r="O102" s="60">
        <f t="shared" ref="O102:R102" si="66">(O87*O90+O91*O94+O98*O95)/O99</f>
        <v>642.90358744394621</v>
      </c>
      <c r="P102" s="60">
        <f t="shared" si="66"/>
        <v>624.91702530556029</v>
      </c>
      <c r="Q102" s="60">
        <f t="shared" si="66"/>
        <v>775.38941954445261</v>
      </c>
      <c r="R102" s="60">
        <f t="shared" si="66"/>
        <v>748.37294032692182</v>
      </c>
    </row>
    <row r="103" spans="1:18" x14ac:dyDescent="0.25">
      <c r="A103" t="s">
        <v>169</v>
      </c>
      <c r="B103" s="63" t="s">
        <v>91</v>
      </c>
      <c r="C103" s="28">
        <f t="shared" ref="C103:J103" si="67">1-C100/C38</f>
        <v>0.56595972579263065</v>
      </c>
      <c r="D103" s="28">
        <f t="shared" si="67"/>
        <v>0.56430573523070282</v>
      </c>
      <c r="E103" s="28">
        <f t="shared" si="67"/>
        <v>0.55818923439608126</v>
      </c>
      <c r="F103" s="28">
        <f t="shared" si="67"/>
        <v>0.55693319850320133</v>
      </c>
      <c r="G103" s="28">
        <f t="shared" si="67"/>
        <v>0.58653389613370233</v>
      </c>
      <c r="H103" s="28">
        <f t="shared" si="67"/>
        <v>0.55441781022160463</v>
      </c>
      <c r="I103" s="28">
        <f t="shared" si="67"/>
        <v>0.55343506459542868</v>
      </c>
      <c r="J103" s="28">
        <f t="shared" si="67"/>
        <v>0.60206276058810615</v>
      </c>
      <c r="O103" s="28">
        <f>1-O100/O38</f>
        <v>0.56088511637839</v>
      </c>
      <c r="P103" s="28">
        <f>1-P100/P38</f>
        <v>0.56025850691455781</v>
      </c>
      <c r="Q103" s="28">
        <f>1-Q100/Q38</f>
        <v>0.55636174381582171</v>
      </c>
      <c r="R103" s="28">
        <f>1-R100/R38</f>
        <v>0.55584640801768093</v>
      </c>
    </row>
    <row r="105" spans="1:18" x14ac:dyDescent="0.25">
      <c r="A105" t="s">
        <v>170</v>
      </c>
    </row>
    <row r="106" spans="1:18" ht="17.25" x14ac:dyDescent="0.25">
      <c r="A106" s="13" t="s">
        <v>171</v>
      </c>
      <c r="B106" s="13" t="s">
        <v>172</v>
      </c>
      <c r="C106" s="129">
        <f>C$91*(C52^2+C51^2)/12</f>
        <v>1.7700324279835391</v>
      </c>
      <c r="D106" s="129">
        <f t="shared" ref="D106:R106" si="68">D$91*(D52^2+D51^2)/12</f>
        <v>3.3131097777777776</v>
      </c>
      <c r="E106" s="129">
        <f>E$91*(E52^2+E51^2)/12</f>
        <v>5.8084453654835393</v>
      </c>
      <c r="F106" s="129">
        <f>F$91*(F52^2+F51^2)/12</f>
        <v>10.912988944953703</v>
      </c>
      <c r="G106" s="129">
        <f>G$91*(G52^2+G51^2)/12</f>
        <v>20.335036909567897</v>
      </c>
      <c r="H106" s="129">
        <f>H$91*(H52^2+H51^2)/12</f>
        <v>8.4332435884773673</v>
      </c>
      <c r="I106" s="129">
        <f>I$91*(I52^2+I51^2)/12</f>
        <v>17.030123496296294</v>
      </c>
      <c r="J106" s="129">
        <f t="shared" si="68"/>
        <v>32.088276543209879</v>
      </c>
      <c r="K106" s="128"/>
      <c r="L106" s="128"/>
      <c r="M106" s="128"/>
      <c r="N106" s="128"/>
      <c r="O106" s="129">
        <f t="shared" si="68"/>
        <v>4.7252942407407401</v>
      </c>
      <c r="P106" s="129">
        <f t="shared" si="68"/>
        <v>6.7798643261316869</v>
      </c>
      <c r="Q106" s="129">
        <f t="shared" si="68"/>
        <v>7.5761671111111113</v>
      </c>
      <c r="R106" s="129">
        <f t="shared" si="68"/>
        <v>11.286460905349793</v>
      </c>
    </row>
    <row r="107" spans="1:18" ht="17.25" x14ac:dyDescent="0.25">
      <c r="A107" s="13" t="s">
        <v>173</v>
      </c>
      <c r="B107" s="13" t="s">
        <v>172</v>
      </c>
      <c r="C107" s="129">
        <f>C$91*(C53^2+C50^2)/12</f>
        <v>6.0538065843621398</v>
      </c>
      <c r="D107" s="129">
        <f t="shared" ref="D107:R107" si="69">D$91*(D53^2+D50^2)/12</f>
        <v>11.331388888888888</v>
      </c>
      <c r="E107" s="129">
        <f>E$91*(E53^2+E50^2)/12</f>
        <v>9.9432844650205752</v>
      </c>
      <c r="F107" s="129">
        <f>F$91*(F53^2+F50^2)/12</f>
        <v>18.68158287037037</v>
      </c>
      <c r="G107" s="129">
        <f>G$91*(G53^2+G50^2)/12</f>
        <v>34.810873456790119</v>
      </c>
      <c r="H107" s="129">
        <f>H$91*(H53^2+H50^2)/12</f>
        <v>16.520365226337447</v>
      </c>
      <c r="I107" s="129">
        <f>I$91*(I53^2+I50^2)/12</f>
        <v>33.361287037037023</v>
      </c>
      <c r="J107" s="129">
        <f t="shared" si="69"/>
        <v>62.859567901234556</v>
      </c>
      <c r="K107" s="128"/>
      <c r="L107" s="128"/>
      <c r="M107" s="128"/>
      <c r="N107" s="128"/>
      <c r="O107" s="129">
        <f t="shared" si="69"/>
        <v>8.089074074074075</v>
      </c>
      <c r="P107" s="129">
        <f t="shared" si="69"/>
        <v>11.60622427983539</v>
      </c>
      <c r="Q107" s="129">
        <f t="shared" si="69"/>
        <v>14.841388888888886</v>
      </c>
      <c r="R107" s="129">
        <f t="shared" si="69"/>
        <v>22.109696502057606</v>
      </c>
    </row>
    <row r="108" spans="1:18" ht="17.25" x14ac:dyDescent="0.25">
      <c r="A108" s="13" t="s">
        <v>174</v>
      </c>
      <c r="B108" s="13" t="s">
        <v>172</v>
      </c>
      <c r="C108" s="129">
        <f>C$91*(C51^2+C50^2)/12</f>
        <v>6.8755144032921818</v>
      </c>
      <c r="D108" s="129">
        <f t="shared" ref="D108:R108" si="70">D$91*(D51^2+D50^2)/12</f>
        <v>12.869444444444442</v>
      </c>
      <c r="E108" s="129">
        <f t="shared" ref="E108:J108" si="71">E$91*(E51^2+E50^2)/12</f>
        <v>12.697656893004114</v>
      </c>
      <c r="F108" s="129">
        <f t="shared" si="71"/>
        <v>23.85653657407407</v>
      </c>
      <c r="G108" s="129">
        <f t="shared" si="71"/>
        <v>44.453774691358014</v>
      </c>
      <c r="H108" s="129">
        <f t="shared" si="71"/>
        <v>19.643307613168723</v>
      </c>
      <c r="I108" s="129">
        <f t="shared" si="71"/>
        <v>39.667768518518507</v>
      </c>
      <c r="J108" s="129">
        <f t="shared" si="71"/>
        <v>74.742283950617264</v>
      </c>
      <c r="K108" s="128"/>
      <c r="L108" s="128"/>
      <c r="M108" s="128"/>
      <c r="N108" s="128"/>
      <c r="O108" s="129">
        <f t="shared" si="70"/>
        <v>10.329814814814814</v>
      </c>
      <c r="P108" s="129">
        <f t="shared" si="70"/>
        <v>14.821244855967075</v>
      </c>
      <c r="Q108" s="129">
        <f t="shared" si="70"/>
        <v>17.64694444444444</v>
      </c>
      <c r="R108" s="129">
        <f t="shared" si="70"/>
        <v>26.289223251028801</v>
      </c>
    </row>
  </sheetData>
  <mergeCells count="2">
    <mergeCell ref="G18:H18"/>
    <mergeCell ref="E18:F18"/>
  </mergeCells>
  <phoneticPr fontId="6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6FB0E-BC9E-4412-8321-8D303EF10D5B}">
  <dimension ref="A1:X110"/>
  <sheetViews>
    <sheetView zoomScale="85" zoomScaleNormal="85" workbookViewId="0">
      <selection activeCell="B67" sqref="B67"/>
    </sheetView>
  </sheetViews>
  <sheetFormatPr defaultRowHeight="15" x14ac:dyDescent="0.25"/>
  <cols>
    <col min="1" max="1" width="35.7109375" customWidth="1"/>
    <col min="2" max="2" width="9.140625" customWidth="1"/>
    <col min="3" max="10" width="9.7109375" customWidth="1"/>
    <col min="11" max="11" width="4.7109375" customWidth="1"/>
    <col min="12" max="12" width="9.7109375" customWidth="1"/>
    <col min="13" max="13" width="8.5703125" customWidth="1"/>
    <col min="14" max="17" width="9.7109375" customWidth="1"/>
  </cols>
  <sheetData>
    <row r="1" spans="1:18" ht="23.25" x14ac:dyDescent="0.35">
      <c r="A1" s="215" t="s">
        <v>394</v>
      </c>
    </row>
    <row r="5" spans="1:18" ht="75" x14ac:dyDescent="0.3">
      <c r="A5" s="256" t="s">
        <v>395</v>
      </c>
      <c r="B5" s="152"/>
      <c r="C5" s="168" t="str">
        <f>packaging!C29</f>
        <v>V1</v>
      </c>
      <c r="D5" s="168" t="str">
        <f>packaging!D29</f>
        <v>V1</v>
      </c>
      <c r="E5" s="168" t="str">
        <f>packaging!E29</f>
        <v>V2</v>
      </c>
      <c r="F5" s="168" t="str">
        <f>packaging!F29</f>
        <v>V2</v>
      </c>
      <c r="G5" s="168" t="str">
        <f>packaging!G29</f>
        <v>V2</v>
      </c>
      <c r="H5" s="168" t="str">
        <f>packaging!H29</f>
        <v>V3</v>
      </c>
      <c r="I5" s="168" t="str">
        <f>packaging!I29</f>
        <v>V3</v>
      </c>
      <c r="J5" s="168" t="str">
        <f>packaging!J29</f>
        <v>V3</v>
      </c>
      <c r="K5" s="153"/>
      <c r="L5" s="169" t="s">
        <v>261</v>
      </c>
      <c r="M5" s="153"/>
      <c r="N5" s="168" t="str">
        <f>packaging!O29</f>
        <v>V2</v>
      </c>
      <c r="O5" s="168" t="str">
        <f>packaging!P29</f>
        <v>V2</v>
      </c>
      <c r="P5" s="168" t="str">
        <f>packaging!Q29</f>
        <v>V3</v>
      </c>
      <c r="Q5" s="168" t="str">
        <f>packaging!R29</f>
        <v>V3</v>
      </c>
    </row>
    <row r="6" spans="1:18" ht="39.75" x14ac:dyDescent="0.3">
      <c r="A6" s="177" t="str">
        <f>'result table'!A13</f>
        <v>usage profile</v>
      </c>
      <c r="B6" s="154"/>
      <c r="C6" s="177" t="str">
        <f>'result table'!C13</f>
        <v>WMTC short range</v>
      </c>
      <c r="D6" s="177" t="str">
        <f>'result table'!D13</f>
        <v>WMTC mid mile</v>
      </c>
      <c r="E6" s="177" t="str">
        <f>'result table'!E13</f>
        <v>WMTC short range</v>
      </c>
      <c r="F6" s="177" t="str">
        <f>'result table'!F13</f>
        <v>WMTC mid mile</v>
      </c>
      <c r="G6" s="177" t="str">
        <f>'result table'!G13</f>
        <v>WMTC metropole</v>
      </c>
      <c r="H6" s="177" t="str">
        <f>'result table'!H13</f>
        <v>WMTC short range</v>
      </c>
      <c r="I6" s="177" t="str">
        <f>'result table'!I13</f>
        <v>WMTC mid mile</v>
      </c>
      <c r="J6" s="177" t="str">
        <f>'result table'!J13</f>
        <v>WMTC metropole</v>
      </c>
      <c r="K6" s="178"/>
      <c r="L6" s="179"/>
      <c r="M6" s="178"/>
      <c r="N6" s="177" t="str">
        <f>'result table'!N13</f>
        <v>WLTC mid-mile</v>
      </c>
      <c r="O6" s="177" t="str">
        <f>'result table'!O13</f>
        <v>WLTC metrolpole</v>
      </c>
      <c r="P6" s="177" t="str">
        <f>'result table'!P13</f>
        <v>WLTC mid-mile</v>
      </c>
      <c r="Q6" s="177" t="str">
        <f>'result table'!Q13</f>
        <v>WLTC metrolpole</v>
      </c>
      <c r="R6" s="2"/>
    </row>
    <row r="7" spans="1:18" ht="18.75" x14ac:dyDescent="0.3">
      <c r="A7" s="161" t="s">
        <v>248</v>
      </c>
      <c r="B7" s="162" t="s">
        <v>249</v>
      </c>
      <c r="C7" s="162">
        <v>740</v>
      </c>
      <c r="D7" s="162">
        <v>740</v>
      </c>
      <c r="E7" s="162">
        <v>740</v>
      </c>
      <c r="F7" s="162">
        <v>740</v>
      </c>
      <c r="G7" s="162">
        <v>740</v>
      </c>
      <c r="H7" s="162">
        <v>740</v>
      </c>
      <c r="I7" s="162">
        <v>740</v>
      </c>
      <c r="J7" s="162">
        <v>740</v>
      </c>
      <c r="K7" s="162"/>
      <c r="L7" s="176">
        <f>K53</f>
        <v>465</v>
      </c>
      <c r="M7" s="162"/>
      <c r="N7" s="162">
        <v>740</v>
      </c>
      <c r="O7" s="162">
        <v>740</v>
      </c>
      <c r="P7" s="162">
        <v>740</v>
      </c>
      <c r="Q7" s="162">
        <v>740</v>
      </c>
    </row>
    <row r="8" spans="1:18" ht="18.75" x14ac:dyDescent="0.3">
      <c r="A8" s="161" t="s">
        <v>313</v>
      </c>
      <c r="B8" s="162" t="s">
        <v>251</v>
      </c>
      <c r="C8" s="162">
        <f>packaging!C38</f>
        <v>1200</v>
      </c>
      <c r="D8" s="162">
        <f>packaging!D38</f>
        <v>1200</v>
      </c>
      <c r="E8" s="162">
        <f>packaging!E38</f>
        <v>1200</v>
      </c>
      <c r="F8" s="162">
        <f>packaging!F38</f>
        <v>1200</v>
      </c>
      <c r="G8" s="162">
        <f>packaging!G38</f>
        <v>1400</v>
      </c>
      <c r="H8" s="162">
        <f>packaging!H38</f>
        <v>1200</v>
      </c>
      <c r="I8" s="162">
        <f>packaging!I38</f>
        <v>1200</v>
      </c>
      <c r="J8" s="162">
        <f>packaging!J38</f>
        <v>1500</v>
      </c>
      <c r="K8" s="162"/>
      <c r="L8" s="176">
        <f>K54</f>
        <v>1549</v>
      </c>
      <c r="M8" s="162"/>
      <c r="N8" s="162">
        <f>packaging!O38</f>
        <v>1200</v>
      </c>
      <c r="O8" s="162">
        <f>packaging!P38</f>
        <v>1200</v>
      </c>
      <c r="P8" s="162">
        <f>packaging!Q38</f>
        <v>1200</v>
      </c>
      <c r="Q8" s="162">
        <f>packaging!R38</f>
        <v>1200</v>
      </c>
    </row>
    <row r="9" spans="1:18" ht="18.75" x14ac:dyDescent="0.3">
      <c r="A9" s="161" t="s">
        <v>373</v>
      </c>
      <c r="B9" s="162" t="s">
        <v>254</v>
      </c>
      <c r="C9" s="174">
        <f>packaging!C100</f>
        <v>520.8483290488432</v>
      </c>
      <c r="D9" s="174">
        <f>packaging!D100</f>
        <v>522.83311772315653</v>
      </c>
      <c r="E9" s="174">
        <f>packaging!E100</f>
        <v>530.17291872470253</v>
      </c>
      <c r="F9" s="174">
        <f>packaging!F100</f>
        <v>531.68016179615836</v>
      </c>
      <c r="G9" s="174">
        <f>packaging!G100</f>
        <v>578.85254541281665</v>
      </c>
      <c r="H9" s="174">
        <f>packaging!H100</f>
        <v>534.69862773407453</v>
      </c>
      <c r="I9" s="174">
        <f>packaging!I100</f>
        <v>535.87792248548567</v>
      </c>
      <c r="J9" s="174">
        <f>packaging!J100</f>
        <v>596.90585911784069</v>
      </c>
      <c r="K9" s="174"/>
      <c r="L9" s="175">
        <f>P56</f>
        <v>929.32673267326732</v>
      </c>
      <c r="M9" s="174"/>
      <c r="N9" s="174">
        <f>packaging!O100</f>
        <v>526.93786034593199</v>
      </c>
      <c r="O9" s="174">
        <f>packaging!P100</f>
        <v>527.68979170253056</v>
      </c>
      <c r="P9" s="174">
        <f>packaging!Q100</f>
        <v>532.36590742101396</v>
      </c>
      <c r="Q9" s="174">
        <f>packaging!R100</f>
        <v>532.98431037878288</v>
      </c>
    </row>
    <row r="10" spans="1:18" ht="18.75" x14ac:dyDescent="0.3">
      <c r="A10" s="161" t="s">
        <v>372</v>
      </c>
      <c r="B10" s="162" t="s">
        <v>369</v>
      </c>
      <c r="C10" s="198">
        <f t="shared" ref="C10:J10" si="0">ATAN(track/2/C8)</f>
        <v>0.29908441161295779</v>
      </c>
      <c r="D10" s="198">
        <f t="shared" si="0"/>
        <v>0.29908441161295779</v>
      </c>
      <c r="E10" s="198">
        <f t="shared" si="0"/>
        <v>0.29908441161295779</v>
      </c>
      <c r="F10" s="198">
        <f t="shared" si="0"/>
        <v>0.29908441161295779</v>
      </c>
      <c r="G10" s="198">
        <f t="shared" si="0"/>
        <v>0.25837819612682483</v>
      </c>
      <c r="H10" s="198">
        <f t="shared" si="0"/>
        <v>0.29908441161295779</v>
      </c>
      <c r="I10" s="198">
        <f t="shared" si="0"/>
        <v>0.29908441161295779</v>
      </c>
      <c r="J10" s="198">
        <f t="shared" si="0"/>
        <v>0.24183895601830027</v>
      </c>
      <c r="K10" s="198"/>
      <c r="L10" s="199">
        <f>ATAN(track/2/L8)</f>
        <v>0.23447036884974187</v>
      </c>
      <c r="M10" s="198"/>
      <c r="N10" s="198">
        <f>ATAN(track/2/N8)</f>
        <v>0.29908441161295779</v>
      </c>
      <c r="O10" s="198">
        <f>ATAN(track/2/O8)</f>
        <v>0.29908441161295779</v>
      </c>
      <c r="P10" s="198">
        <f>ATAN(track/2/P8)</f>
        <v>0.29908441161295779</v>
      </c>
      <c r="Q10" s="198">
        <f>ATAN(track/2/Q8)</f>
        <v>0.29908441161295779</v>
      </c>
    </row>
    <row r="11" spans="1:18" ht="18.75" x14ac:dyDescent="0.3">
      <c r="A11" s="161" t="s">
        <v>368</v>
      </c>
      <c r="B11" s="162"/>
      <c r="C11" s="174">
        <f>(C8-C9)*SIN(C10)</f>
        <v>200.10890754445822</v>
      </c>
      <c r="D11" s="174">
        <f t="shared" ref="D11:Q11" si="1">(D8-D9)*SIN(D10)</f>
        <v>199.52409871557438</v>
      </c>
      <c r="E11" s="174">
        <f t="shared" si="1"/>
        <v>197.36146020221244</v>
      </c>
      <c r="F11" s="174">
        <f t="shared" si="1"/>
        <v>196.9173579827324</v>
      </c>
      <c r="G11" s="174">
        <f t="shared" si="1"/>
        <v>209.81378344265948</v>
      </c>
      <c r="H11" s="174">
        <f t="shared" si="1"/>
        <v>196.02798091552938</v>
      </c>
      <c r="I11" s="174">
        <f t="shared" si="1"/>
        <v>195.68050715602692</v>
      </c>
      <c r="J11" s="174">
        <f t="shared" si="1"/>
        <v>216.28063524762428</v>
      </c>
      <c r="K11" s="174"/>
      <c r="L11" s="175">
        <f t="shared" si="1"/>
        <v>143.96737586479884</v>
      </c>
      <c r="M11" s="174"/>
      <c r="N11" s="174">
        <f t="shared" si="1"/>
        <v>198.31465523317169</v>
      </c>
      <c r="O11" s="174">
        <f t="shared" si="1"/>
        <v>198.0931021269169</v>
      </c>
      <c r="P11" s="174">
        <f t="shared" si="1"/>
        <v>196.71530619708184</v>
      </c>
      <c r="Q11" s="174">
        <f t="shared" si="1"/>
        <v>196.53309661769865</v>
      </c>
    </row>
    <row r="12" spans="1:18" ht="18.75" x14ac:dyDescent="0.3">
      <c r="A12" s="161" t="s">
        <v>371</v>
      </c>
      <c r="B12" s="162" t="s">
        <v>258</v>
      </c>
      <c r="C12" s="174">
        <f>packaging!C102+TRR</f>
        <v>659.50822622107967</v>
      </c>
      <c r="D12" s="174">
        <f>packaging!D102+TRR</f>
        <v>634.82794307891334</v>
      </c>
      <c r="E12" s="174">
        <f>packaging!E102+TRR</f>
        <v>859.4624133439404</v>
      </c>
      <c r="F12" s="174">
        <f>packaging!F102+TRR</f>
        <v>819.53007942958425</v>
      </c>
      <c r="G12" s="174">
        <f>packaging!G102+TRR</f>
        <v>754.5551754035514</v>
      </c>
      <c r="H12" s="174">
        <f>packaging!H102+TRR</f>
        <v>993.84320816073193</v>
      </c>
      <c r="I12" s="174">
        <f>packaging!I102+TRR</f>
        <v>942.5479478155612</v>
      </c>
      <c r="J12" s="174">
        <f>packaging!J102+TRR</f>
        <v>865.11224489795916</v>
      </c>
      <c r="K12" s="174"/>
      <c r="L12" s="175">
        <f>Q56</f>
        <v>662.37623762376234</v>
      </c>
      <c r="M12" s="174"/>
      <c r="N12" s="174">
        <f>packaging!O102+TRR</f>
        <v>891.90358744394621</v>
      </c>
      <c r="O12" s="174">
        <f>packaging!P102+TRR</f>
        <v>873.91702530556029</v>
      </c>
      <c r="P12" s="174">
        <f>packaging!Q102+TRR</f>
        <v>1024.3894195444527</v>
      </c>
      <c r="Q12" s="174">
        <f>packaging!R102+TRR</f>
        <v>997.37294032692182</v>
      </c>
    </row>
    <row r="13" spans="1:18" ht="18.75" x14ac:dyDescent="0.3">
      <c r="A13" s="171" t="s">
        <v>370</v>
      </c>
      <c r="B13" s="210" t="s">
        <v>260</v>
      </c>
      <c r="C13" s="172">
        <f>ATAN(C11/C12)*180/PI()</f>
        <v>16.878919978287161</v>
      </c>
      <c r="D13" s="172">
        <f t="shared" ref="D13:Q13" si="2">ATAN(D11/D12)*180/PI()</f>
        <v>17.447742474130347</v>
      </c>
      <c r="E13" s="172">
        <f t="shared" si="2"/>
        <v>12.932825257710739</v>
      </c>
      <c r="F13" s="172">
        <f t="shared" si="2"/>
        <v>13.510945713743215</v>
      </c>
      <c r="G13" s="172">
        <f t="shared" si="2"/>
        <v>15.539274772333732</v>
      </c>
      <c r="H13" s="172">
        <f t="shared" si="2"/>
        <v>11.157928112681503</v>
      </c>
      <c r="I13" s="172">
        <f t="shared" si="2"/>
        <v>11.728454101356284</v>
      </c>
      <c r="J13" s="172">
        <f>ATAN(J11/J12)*180/PI()</f>
        <v>14.03640391558233</v>
      </c>
      <c r="K13" s="172"/>
      <c r="L13" s="200">
        <f>ATAN(L11/L12)*180/PI()</f>
        <v>12.262505729305861</v>
      </c>
      <c r="M13" s="172"/>
      <c r="N13" s="172">
        <f t="shared" si="2"/>
        <v>12.535777547610829</v>
      </c>
      <c r="O13" s="172">
        <f t="shared" si="2"/>
        <v>12.771569512167893</v>
      </c>
      <c r="P13" s="172">
        <f t="shared" si="2"/>
        <v>10.870280510657697</v>
      </c>
      <c r="Q13" s="172">
        <f t="shared" si="2"/>
        <v>11.147360933401417</v>
      </c>
    </row>
    <row r="14" spans="1:18" ht="18.75" x14ac:dyDescent="0.3">
      <c r="A14" s="170" t="s">
        <v>400</v>
      </c>
      <c r="B14" s="211" t="s">
        <v>341</v>
      </c>
      <c r="C14" s="189">
        <f>C11/2/C12</f>
        <v>0.15171069866032111</v>
      </c>
      <c r="D14" s="189">
        <f t="shared" ref="D14:Q14" si="3">D11/2/D12</f>
        <v>0.15714816974492585</v>
      </c>
      <c r="E14" s="189">
        <f t="shared" si="3"/>
        <v>0.11481680707497802</v>
      </c>
      <c r="F14" s="189">
        <f t="shared" si="3"/>
        <v>0.1201404090743029</v>
      </c>
      <c r="G14" s="189">
        <f t="shared" si="3"/>
        <v>0.13903143884106739</v>
      </c>
      <c r="H14" s="189">
        <f t="shared" si="3"/>
        <v>9.8621180537275574E-2</v>
      </c>
      <c r="I14" s="189">
        <f t="shared" si="3"/>
        <v>0.10380400679325329</v>
      </c>
      <c r="J14" s="189">
        <f t="shared" si="3"/>
        <v>0.12500148768159836</v>
      </c>
      <c r="K14" s="189"/>
      <c r="L14" s="201">
        <f t="shared" si="3"/>
        <v>0.10867492498015459</v>
      </c>
      <c r="M14" s="189"/>
      <c r="N14" s="189">
        <f t="shared" si="3"/>
        <v>0.11117493977208341</v>
      </c>
      <c r="O14" s="189">
        <f t="shared" si="3"/>
        <v>0.11333633307902129</v>
      </c>
      <c r="P14" s="189">
        <f t="shared" si="3"/>
        <v>9.6015881482142504E-2</v>
      </c>
      <c r="Q14" s="189">
        <f t="shared" si="3"/>
        <v>9.8525380362374002E-2</v>
      </c>
    </row>
    <row r="15" spans="1:18" x14ac:dyDescent="0.25">
      <c r="L15" s="3"/>
    </row>
    <row r="20" spans="1:21" x14ac:dyDescent="0.25">
      <c r="S20" s="3"/>
    </row>
    <row r="21" spans="1:21" ht="18.75" x14ac:dyDescent="0.3">
      <c r="A21" s="170" t="s">
        <v>403</v>
      </c>
      <c r="L21" s="3"/>
      <c r="S21" s="3"/>
    </row>
    <row r="22" spans="1:21" x14ac:dyDescent="0.25">
      <c r="A22" s="73"/>
      <c r="B22" s="73"/>
      <c r="C22" s="74" t="str">
        <f>C30</f>
        <v>V1</v>
      </c>
      <c r="D22" s="74" t="str">
        <f t="shared" ref="D22:Q22" si="4">D30</f>
        <v>V1</v>
      </c>
      <c r="E22" s="74" t="str">
        <f t="shared" si="4"/>
        <v>V2</v>
      </c>
      <c r="F22" s="74" t="str">
        <f t="shared" si="4"/>
        <v>V2</v>
      </c>
      <c r="G22" s="74" t="str">
        <f t="shared" si="4"/>
        <v>V2</v>
      </c>
      <c r="H22" s="74" t="str">
        <f t="shared" si="4"/>
        <v>V3</v>
      </c>
      <c r="I22" s="74" t="str">
        <f t="shared" si="4"/>
        <v>V3</v>
      </c>
      <c r="J22" s="74" t="str">
        <f t="shared" si="4"/>
        <v>V3</v>
      </c>
      <c r="K22" s="3"/>
      <c r="L22" s="50" t="str">
        <f t="shared" si="4"/>
        <v>4 wheel</v>
      </c>
      <c r="M22" s="50" t="str">
        <f t="shared" si="4"/>
        <v>4 wheel</v>
      </c>
      <c r="N22" s="50" t="str">
        <f t="shared" si="4"/>
        <v>V2</v>
      </c>
      <c r="O22" s="50" t="str">
        <f t="shared" si="4"/>
        <v>V2</v>
      </c>
      <c r="P22" s="50" t="str">
        <f t="shared" si="4"/>
        <v>V3</v>
      </c>
      <c r="Q22" s="50" t="str">
        <f t="shared" si="4"/>
        <v>V3</v>
      </c>
    </row>
    <row r="23" spans="1:21" x14ac:dyDescent="0.25">
      <c r="A23" s="75" t="s">
        <v>313</v>
      </c>
      <c r="B23" s="75" t="s">
        <v>152</v>
      </c>
      <c r="C23" s="76">
        <f>packaging!C38/1000</f>
        <v>1.2</v>
      </c>
      <c r="D23" s="76">
        <f>packaging!D38/1000</f>
        <v>1.2</v>
      </c>
      <c r="E23" s="76">
        <f>packaging!E38/1000</f>
        <v>1.2</v>
      </c>
      <c r="F23" s="76">
        <f>packaging!F38/1000</f>
        <v>1.2</v>
      </c>
      <c r="G23" s="76">
        <f>packaging!G38/1000</f>
        <v>1.4</v>
      </c>
      <c r="H23" s="76">
        <f>packaging!H38/1000</f>
        <v>1.2</v>
      </c>
      <c r="I23" s="76">
        <f>packaging!I38/1000</f>
        <v>1.2</v>
      </c>
      <c r="J23" s="76">
        <f>packaging!J38/1000</f>
        <v>1.5</v>
      </c>
      <c r="K23" s="3"/>
      <c r="L23" s="80">
        <v>1.8</v>
      </c>
      <c r="M23" s="80">
        <v>1.8</v>
      </c>
      <c r="N23" s="80">
        <f>packaging!O38/1000</f>
        <v>1.2</v>
      </c>
      <c r="O23" s="80">
        <f>packaging!P38/1000</f>
        <v>1.2</v>
      </c>
      <c r="P23" s="80">
        <f>packaging!Q38/1000</f>
        <v>1.2</v>
      </c>
      <c r="Q23" s="80">
        <f>packaging!R38/1000</f>
        <v>1.2</v>
      </c>
    </row>
    <row r="24" spans="1:21" x14ac:dyDescent="0.25">
      <c r="A24" s="75" t="s">
        <v>15</v>
      </c>
      <c r="B24" s="75"/>
      <c r="C24" s="76">
        <f>packaging!C47/1000</f>
        <v>0.8</v>
      </c>
      <c r="D24" s="76">
        <f>packaging!D47/1000</f>
        <v>0.8</v>
      </c>
      <c r="E24" s="76">
        <f>packaging!E47/1000</f>
        <v>1.1000000000000001</v>
      </c>
      <c r="F24" s="76">
        <f>packaging!F47/1000</f>
        <v>1.1000000000000001</v>
      </c>
      <c r="G24" s="76">
        <f>packaging!G47/1000</f>
        <v>1.1000000000000001</v>
      </c>
      <c r="H24" s="76">
        <f>packaging!H47/1000</f>
        <v>1.1000000000000001</v>
      </c>
      <c r="I24" s="76">
        <f>packaging!I47/1000</f>
        <v>1.1000000000000001</v>
      </c>
      <c r="J24" s="76">
        <f>packaging!J47/1000</f>
        <v>1.1000000000000001</v>
      </c>
      <c r="K24" s="3"/>
      <c r="L24" s="81">
        <f>C52</f>
        <v>1.6</v>
      </c>
      <c r="M24" s="81">
        <f>D52</f>
        <v>0</v>
      </c>
      <c r="N24" s="81">
        <f>packaging!O47/1000</f>
        <v>1.1000000000000001</v>
      </c>
      <c r="O24" s="81">
        <f>packaging!P47/1000</f>
        <v>1.1000000000000001</v>
      </c>
      <c r="P24" s="81">
        <f>packaging!Q47/1000</f>
        <v>1.1000000000000001</v>
      </c>
      <c r="Q24" s="81">
        <f>packaging!R47/1000</f>
        <v>1.1000000000000001</v>
      </c>
    </row>
    <row r="25" spans="1:21" x14ac:dyDescent="0.25">
      <c r="A25" s="75" t="s">
        <v>318</v>
      </c>
      <c r="B25" s="75" t="s">
        <v>152</v>
      </c>
      <c r="C25" s="79">
        <f t="shared" ref="C25:J25" si="5">SQRT(((C23/TAN(RADIANS($C$43))+C24/2))^2+(C23+$C45)^2)</f>
        <v>4.0283506113633161</v>
      </c>
      <c r="D25" s="79">
        <f t="shared" si="5"/>
        <v>4.0283506113633161</v>
      </c>
      <c r="E25" s="79">
        <f t="shared" si="5"/>
        <v>4.1664373893141446</v>
      </c>
      <c r="F25" s="79">
        <f t="shared" si="5"/>
        <v>4.1664373893141446</v>
      </c>
      <c r="G25" s="79">
        <f t="shared" si="5"/>
        <v>4.7506772443483944</v>
      </c>
      <c r="H25" s="79">
        <f t="shared" si="5"/>
        <v>4.1664373893141446</v>
      </c>
      <c r="I25" s="79">
        <f t="shared" si="5"/>
        <v>4.1664373893141446</v>
      </c>
      <c r="J25" s="79">
        <f t="shared" si="5"/>
        <v>5.0428424648733028</v>
      </c>
      <c r="K25" s="10"/>
      <c r="L25" s="85">
        <f>SQRT(((L23/TAN(RADIANS($C$44))+L24/2))^2+(L23+$C46)^2)</f>
        <v>4.1378003893252835</v>
      </c>
      <c r="M25" s="85">
        <f>SQRT(((M23/TAN(RADIANS($C$44))+M24/2))^2+(M23+$C46)^2)</f>
        <v>3.5168630627994575</v>
      </c>
      <c r="N25" s="85">
        <f>SQRT(((N23/TAN(RADIANS($C$43))+N24/2))^2+(N23+$C45)^2)</f>
        <v>4.1664373893141446</v>
      </c>
      <c r="O25" s="85">
        <f>SQRT(((O23/TAN(RADIANS($C$43))+O24/2))^2+(O23+$C45)^2)</f>
        <v>4.1664373893141446</v>
      </c>
      <c r="P25" s="85">
        <f>SQRT(((P23/TAN(RADIANS($C$43))+P24/2))^2+(P23+$C45)^2)</f>
        <v>4.1664373893141446</v>
      </c>
      <c r="Q25" s="85">
        <f>SQRT(((Q23/TAN(RADIANS($C$43))+Q24/2))^2+(Q23+$C45)^2)</f>
        <v>4.1664373893141446</v>
      </c>
      <c r="R25" s="26"/>
    </row>
    <row r="26" spans="1:21" x14ac:dyDescent="0.25">
      <c r="A26" s="72" t="s">
        <v>320</v>
      </c>
      <c r="B26" s="72" t="s">
        <v>152</v>
      </c>
      <c r="C26" s="195">
        <f t="shared" ref="C26:J26" si="6">C23/TAN(RADIANS($C$43))-C24/2</f>
        <v>2.8969729033455467</v>
      </c>
      <c r="D26" s="195">
        <f t="shared" si="6"/>
        <v>2.8969729033455467</v>
      </c>
      <c r="E26" s="195">
        <f t="shared" si="6"/>
        <v>2.7469729033455463</v>
      </c>
      <c r="F26" s="195">
        <f t="shared" si="6"/>
        <v>2.7469729033455463</v>
      </c>
      <c r="G26" s="195">
        <f t="shared" si="6"/>
        <v>3.2964683872364713</v>
      </c>
      <c r="H26" s="195">
        <f t="shared" si="6"/>
        <v>2.7469729033455463</v>
      </c>
      <c r="I26" s="195">
        <f t="shared" si="6"/>
        <v>2.7469729033455463</v>
      </c>
      <c r="J26" s="195">
        <f t="shared" si="6"/>
        <v>3.5712161291819342</v>
      </c>
      <c r="K26" s="10"/>
      <c r="L26" s="196">
        <f>L23/TAN(RADIANS($C$44))-L24/2</f>
        <v>1.7706664121358064</v>
      </c>
      <c r="M26" s="196">
        <f>M23/TAN(RADIANS($C$44))-M24/2</f>
        <v>2.5706664121358065</v>
      </c>
      <c r="N26" s="196">
        <f>N23/TAN(RADIANS($C$43))-N24/2</f>
        <v>2.7469729033455463</v>
      </c>
      <c r="O26" s="196">
        <f>O23/TAN(RADIANS($C$43))-O24/2</f>
        <v>2.7469729033455463</v>
      </c>
      <c r="P26" s="196">
        <f>P23/TAN(RADIANS($C$43))-P24/2</f>
        <v>2.7469729033455463</v>
      </c>
      <c r="Q26" s="196">
        <f>Q23/TAN(RADIANS($C$43))-Q24/2</f>
        <v>2.7469729033455463</v>
      </c>
      <c r="R26" s="26"/>
    </row>
    <row r="27" spans="1:21" x14ac:dyDescent="0.25">
      <c r="A27" s="75" t="s">
        <v>321</v>
      </c>
      <c r="B27" s="75"/>
      <c r="C27" s="79">
        <f>C25-C26</f>
        <v>1.1313777080177694</v>
      </c>
      <c r="D27" s="79">
        <f t="shared" ref="D27:Q27" si="7">D25-D26</f>
        <v>1.1313777080177694</v>
      </c>
      <c r="E27" s="79">
        <f t="shared" si="7"/>
        <v>1.4194644859685983</v>
      </c>
      <c r="F27" s="79">
        <f t="shared" si="7"/>
        <v>1.4194644859685983</v>
      </c>
      <c r="G27" s="79">
        <f t="shared" si="7"/>
        <v>1.4542088571119232</v>
      </c>
      <c r="H27" s="79">
        <f t="shared" si="7"/>
        <v>1.4194644859685983</v>
      </c>
      <c r="I27" s="79">
        <f t="shared" si="7"/>
        <v>1.4194644859685983</v>
      </c>
      <c r="J27" s="79">
        <f t="shared" si="7"/>
        <v>1.4716263356913686</v>
      </c>
      <c r="K27" s="10"/>
      <c r="L27" s="85">
        <f>L25-L26</f>
        <v>2.3671339771894768</v>
      </c>
      <c r="M27" s="85">
        <f>M25-M26</f>
        <v>0.946196650663651</v>
      </c>
      <c r="N27" s="85">
        <f t="shared" si="7"/>
        <v>1.4194644859685983</v>
      </c>
      <c r="O27" s="85">
        <f t="shared" si="7"/>
        <v>1.4194644859685983</v>
      </c>
      <c r="P27" s="85">
        <f t="shared" si="7"/>
        <v>1.4194644859685983</v>
      </c>
      <c r="Q27" s="85">
        <f t="shared" si="7"/>
        <v>1.4194644859685983</v>
      </c>
      <c r="R27" s="26"/>
    </row>
    <row r="28" spans="1:21" x14ac:dyDescent="0.25">
      <c r="A28" s="72" t="s">
        <v>319</v>
      </c>
      <c r="B28" s="72" t="s">
        <v>152</v>
      </c>
      <c r="C28" s="195">
        <f t="shared" ref="C28:J28" si="8">SQRT((C23/TAN(RADIANS($C$43))+track/2000)^2+C23^2)</f>
        <v>3.8583273932975759</v>
      </c>
      <c r="D28" s="195">
        <f t="shared" si="8"/>
        <v>3.8583273932975759</v>
      </c>
      <c r="E28" s="195">
        <f t="shared" si="8"/>
        <v>3.8583273932975759</v>
      </c>
      <c r="F28" s="195">
        <f t="shared" si="8"/>
        <v>3.8583273932975759</v>
      </c>
      <c r="G28" s="195">
        <f t="shared" si="8"/>
        <v>4.442815060360326</v>
      </c>
      <c r="H28" s="195">
        <f t="shared" si="8"/>
        <v>3.8583273932975759</v>
      </c>
      <c r="I28" s="195">
        <f t="shared" si="8"/>
        <v>3.8583273932975759</v>
      </c>
      <c r="J28" s="195">
        <f t="shared" si="8"/>
        <v>4.7350841934461902</v>
      </c>
      <c r="K28" s="10"/>
      <c r="L28" s="85">
        <f>SQRT((L23/TAN(RADIANS($C$44))+1.8/2000)^2+L23^2)</f>
        <v>3.1389415114055605</v>
      </c>
      <c r="M28" s="85">
        <f>SQRT((M23/TAN(RADIANS($C$44))+1.8/2000)^2+M23^2)</f>
        <v>3.1389415114055605</v>
      </c>
      <c r="N28" s="85">
        <f>SQRT((N23/TAN(RADIANS($C$43))+track/2000)^2+N23^2)</f>
        <v>3.8583273932975759</v>
      </c>
      <c r="O28" s="85">
        <f>SQRT((O23/TAN(RADIANS($C$43))+track/2000)^2+O23^2)</f>
        <v>3.8583273932975759</v>
      </c>
      <c r="P28" s="85">
        <f>SQRT((P23/TAN(RADIANS($C$43))+track/2000)^2+P23^2)</f>
        <v>3.8583273932975759</v>
      </c>
      <c r="Q28" s="85">
        <f>SQRT((Q23/TAN(RADIANS($C$43))+track/2000)^2+Q23^2)</f>
        <v>3.8583273932975759</v>
      </c>
      <c r="R28" s="26"/>
    </row>
    <row r="30" spans="1:21" x14ac:dyDescent="0.25">
      <c r="A30" s="73" t="str">
        <f>'result table'!A10</f>
        <v>vehicle definition</v>
      </c>
      <c r="B30" s="73">
        <f>'result table'!B10</f>
        <v>0</v>
      </c>
      <c r="C30" s="74" t="str">
        <f>'result table'!C10</f>
        <v>V1</v>
      </c>
      <c r="D30" s="74" t="str">
        <f>'result table'!D10</f>
        <v>V1</v>
      </c>
      <c r="E30" s="74" t="str">
        <f>'result table'!E10</f>
        <v>V2</v>
      </c>
      <c r="F30" s="74" t="str">
        <f>'result table'!F10</f>
        <v>V2</v>
      </c>
      <c r="G30" s="74" t="str">
        <f>'result table'!G10</f>
        <v>V2</v>
      </c>
      <c r="H30" s="74" t="str">
        <f>'result table'!H10</f>
        <v>V3</v>
      </c>
      <c r="I30" s="74" t="str">
        <f>'result table'!I10</f>
        <v>V3</v>
      </c>
      <c r="J30" s="74" t="str">
        <f>'result table'!J10</f>
        <v>V3</v>
      </c>
      <c r="K30" s="3"/>
      <c r="L30" s="50" t="str">
        <f>'result table'!L10</f>
        <v>4 wheel</v>
      </c>
      <c r="M30" s="50" t="str">
        <f>'result table'!M10</f>
        <v>4 wheel</v>
      </c>
      <c r="N30" s="50" t="str">
        <f>'result table'!N10</f>
        <v>V2</v>
      </c>
      <c r="O30" s="50" t="str">
        <f>'result table'!O10</f>
        <v>V2</v>
      </c>
      <c r="P30" s="50" t="str">
        <f>'result table'!P10</f>
        <v>V3</v>
      </c>
      <c r="Q30" s="50" t="str">
        <f>'result table'!Q10</f>
        <v>V3</v>
      </c>
    </row>
    <row r="31" spans="1:21" x14ac:dyDescent="0.25">
      <c r="A31" s="72" t="str">
        <f>'result table'!A11</f>
        <v>cargo volume</v>
      </c>
      <c r="B31" s="72" t="str">
        <f>'result table'!B11</f>
        <v>m3</v>
      </c>
      <c r="C31" s="56">
        <f>'result table'!C11</f>
        <v>1</v>
      </c>
      <c r="D31" s="56">
        <f>'result table'!D11</f>
        <v>1</v>
      </c>
      <c r="E31" s="56">
        <f>'result table'!E11</f>
        <v>2</v>
      </c>
      <c r="F31" s="56">
        <f>'result table'!F11</f>
        <v>2</v>
      </c>
      <c r="G31" s="56">
        <f>'result table'!G11</f>
        <v>2</v>
      </c>
      <c r="H31" s="56">
        <f>'result table'!H11</f>
        <v>3</v>
      </c>
      <c r="I31" s="56">
        <f>'result table'!I11</f>
        <v>3</v>
      </c>
      <c r="J31" s="56">
        <f>'result table'!J11</f>
        <v>3</v>
      </c>
      <c r="K31" s="3"/>
      <c r="L31" s="80">
        <f>'result table'!L11</f>
        <v>3</v>
      </c>
      <c r="M31" s="80">
        <f>'result table'!M11</f>
        <v>3</v>
      </c>
      <c r="N31" s="80">
        <f>'result table'!N11</f>
        <v>2</v>
      </c>
      <c r="O31" s="80">
        <f>'result table'!O11</f>
        <v>2</v>
      </c>
      <c r="P31" s="80">
        <f>'result table'!P11</f>
        <v>3</v>
      </c>
      <c r="Q31" s="80">
        <f>'result table'!Q11</f>
        <v>3</v>
      </c>
    </row>
    <row r="32" spans="1:21" s="3" customFormat="1" x14ac:dyDescent="0.25">
      <c r="A32" s="75" t="str">
        <f>'result table'!A12</f>
        <v>range</v>
      </c>
      <c r="B32" s="75" t="str">
        <f>'result table'!B12</f>
        <v>km</v>
      </c>
      <c r="C32" s="76">
        <f>'result table'!C12</f>
        <v>100</v>
      </c>
      <c r="D32" s="76">
        <f>'result table'!D12</f>
        <v>180</v>
      </c>
      <c r="E32" s="76">
        <f>'result table'!E12</f>
        <v>100</v>
      </c>
      <c r="F32" s="76">
        <f>'result table'!F12</f>
        <v>180</v>
      </c>
      <c r="G32" s="76">
        <f>'result table'!G12</f>
        <v>250</v>
      </c>
      <c r="H32" s="76">
        <f>'result table'!H12</f>
        <v>100</v>
      </c>
      <c r="I32" s="76">
        <f>'result table'!I12</f>
        <v>180</v>
      </c>
      <c r="J32" s="76">
        <f>'result table'!J12</f>
        <v>250</v>
      </c>
      <c r="L32" s="80">
        <f>'result table'!L12</f>
        <v>180</v>
      </c>
      <c r="M32" s="80">
        <f>'result table'!M12</f>
        <v>250</v>
      </c>
      <c r="N32" s="80">
        <f>'result table'!N12</f>
        <v>180</v>
      </c>
      <c r="O32" s="80">
        <f>'result table'!O12</f>
        <v>250</v>
      </c>
      <c r="P32" s="80">
        <f>'result table'!P12</f>
        <v>180</v>
      </c>
      <c r="Q32" s="80">
        <f>'result table'!Q12</f>
        <v>250</v>
      </c>
      <c r="R32"/>
      <c r="S32"/>
      <c r="T32"/>
      <c r="U32"/>
    </row>
    <row r="33" spans="1:24" x14ac:dyDescent="0.25">
      <c r="A33" s="75" t="str">
        <f>'result table'!A13</f>
        <v>usage profile</v>
      </c>
      <c r="B33" s="75" t="str">
        <f>'result table'!B13</f>
        <v>-</v>
      </c>
      <c r="C33" s="75" t="str">
        <f>'result table'!C13</f>
        <v>WMTC short range</v>
      </c>
      <c r="D33" s="75" t="str">
        <f>'result table'!D13</f>
        <v>WMTC mid mile</v>
      </c>
      <c r="E33" s="75" t="str">
        <f>'result table'!E13</f>
        <v>WMTC short range</v>
      </c>
      <c r="F33" s="76" t="str">
        <f>'result table'!F13</f>
        <v>WMTC mid mile</v>
      </c>
      <c r="G33" s="76" t="str">
        <f>'result table'!G13</f>
        <v>WMTC metropole</v>
      </c>
      <c r="H33" s="76" t="str">
        <f>'result table'!H13</f>
        <v>WMTC short range</v>
      </c>
      <c r="I33" s="76" t="str">
        <f>'result table'!I13</f>
        <v>WMTC mid mile</v>
      </c>
      <c r="J33" s="76" t="str">
        <f>'result table'!J13</f>
        <v>WMTC metropole</v>
      </c>
      <c r="K33" s="3"/>
      <c r="L33" s="87" t="str">
        <f>'result table'!L13</f>
        <v>WLTC mid-mile</v>
      </c>
      <c r="M33" s="87" t="str">
        <f>'result table'!M13</f>
        <v>WLTC metrolpole</v>
      </c>
      <c r="N33" s="87" t="str">
        <f>'result table'!N13</f>
        <v>WLTC mid-mile</v>
      </c>
      <c r="O33" s="87" t="str">
        <f>'result table'!O13</f>
        <v>WLTC metrolpole</v>
      </c>
      <c r="P33" s="87" t="str">
        <f>'result table'!P13</f>
        <v>WLTC mid-mile</v>
      </c>
      <c r="Q33" s="87" t="str">
        <f>'result table'!Q13</f>
        <v>WLTC metrolpole</v>
      </c>
    </row>
    <row r="34" spans="1:24" x14ac:dyDescent="0.25">
      <c r="A34" s="49" t="str">
        <f>'result table'!A16</f>
        <v>architecture</v>
      </c>
      <c r="B34" s="49"/>
      <c r="C34" s="50"/>
      <c r="D34" s="50"/>
      <c r="E34" s="50"/>
      <c r="F34" s="50"/>
      <c r="G34" s="50"/>
      <c r="H34" s="50"/>
      <c r="I34" s="50"/>
      <c r="J34" s="50"/>
      <c r="K34" s="3"/>
      <c r="L34" s="74"/>
      <c r="M34" s="74"/>
      <c r="N34" s="74"/>
      <c r="O34" s="74"/>
      <c r="P34" s="74"/>
      <c r="Q34" s="74"/>
    </row>
    <row r="35" spans="1:24" x14ac:dyDescent="0.25">
      <c r="A35" s="75" t="str">
        <f>'result table'!A17</f>
        <v>GVW</v>
      </c>
      <c r="B35" s="75" t="str">
        <f>'result table'!B17</f>
        <v>kg</v>
      </c>
      <c r="C35" s="82">
        <f>'result table'!C17</f>
        <v>240.12345679012347</v>
      </c>
      <c r="D35" s="82">
        <f>'result table'!D17</f>
        <v>257.66666666666669</v>
      </c>
      <c r="E35" s="82">
        <f>'result table'!E17</f>
        <v>353.05246913580248</v>
      </c>
      <c r="F35" s="82">
        <f>'result table'!F17</f>
        <v>382.09944444444443</v>
      </c>
      <c r="G35" s="82">
        <f>'result table'!G17</f>
        <v>435.71481481481482</v>
      </c>
      <c r="H35" s="82">
        <f>'result table'!H17</f>
        <v>457.47530864197529</v>
      </c>
      <c r="I35" s="82">
        <f>'result table'!I17</f>
        <v>495.67777777777775</v>
      </c>
      <c r="J35" s="82">
        <f>'result table'!J17</f>
        <v>562.59259259259261</v>
      </c>
      <c r="K35" s="8"/>
      <c r="L35" s="130">
        <f>'result table'!L17</f>
        <v>1600</v>
      </c>
      <c r="M35" s="130">
        <f>'result table'!M17</f>
        <v>1600</v>
      </c>
      <c r="N35" s="130">
        <f>'result table'!N17</f>
        <v>346.88888888888891</v>
      </c>
      <c r="O35" s="130">
        <f>'result table'!O17</f>
        <v>358.58024691358025</v>
      </c>
      <c r="P35" s="130">
        <f>'result table'!P17</f>
        <v>453.66666666666669</v>
      </c>
      <c r="Q35" s="130">
        <f>'result table'!Q17</f>
        <v>470.15432098765433</v>
      </c>
      <c r="V35" s="12"/>
      <c r="W35" s="12"/>
      <c r="X35" s="12"/>
    </row>
    <row r="36" spans="1:24" x14ac:dyDescent="0.25">
      <c r="A36" s="75" t="str">
        <f>'result table'!A18</f>
        <v>Payload</v>
      </c>
      <c r="B36" s="75" t="str">
        <f>'result table'!B18</f>
        <v>kg</v>
      </c>
      <c r="C36" s="76">
        <f>'result table'!C18</f>
        <v>100</v>
      </c>
      <c r="D36" s="76">
        <f>'result table'!D18</f>
        <v>100</v>
      </c>
      <c r="E36" s="76">
        <f>'result table'!E18</f>
        <v>200</v>
      </c>
      <c r="F36" s="76">
        <f>'result table'!F18</f>
        <v>200</v>
      </c>
      <c r="G36" s="76">
        <f>'result table'!G18</f>
        <v>200</v>
      </c>
      <c r="H36" s="76">
        <f>'result table'!H18</f>
        <v>300</v>
      </c>
      <c r="I36" s="76">
        <f>'result table'!I18</f>
        <v>300</v>
      </c>
      <c r="J36" s="76">
        <f>'result table'!J18</f>
        <v>300</v>
      </c>
      <c r="K36" s="3"/>
      <c r="L36" s="81">
        <f>'result table'!L18</f>
        <v>300</v>
      </c>
      <c r="M36" s="81">
        <f>'result table'!M18</f>
        <v>300</v>
      </c>
      <c r="N36" s="81">
        <f>'result table'!N18</f>
        <v>200</v>
      </c>
      <c r="O36" s="81">
        <f>'result table'!O18</f>
        <v>200</v>
      </c>
      <c r="P36" s="81">
        <f>'result table'!P18</f>
        <v>300</v>
      </c>
      <c r="Q36" s="81">
        <f>'result table'!Q18</f>
        <v>300</v>
      </c>
      <c r="V36" s="12"/>
      <c r="W36" s="12"/>
      <c r="X36" s="12"/>
    </row>
    <row r="37" spans="1:24" x14ac:dyDescent="0.25">
      <c r="A37" s="75" t="str">
        <f>'result table'!A19</f>
        <v>wheel base</v>
      </c>
      <c r="B37" s="75" t="str">
        <f>'result table'!B19</f>
        <v>mm</v>
      </c>
      <c r="C37" s="76">
        <f>'result table'!C19</f>
        <v>1200</v>
      </c>
      <c r="D37" s="76">
        <f>'result table'!D19</f>
        <v>1200</v>
      </c>
      <c r="E37" s="76">
        <f>'result table'!E19</f>
        <v>1200</v>
      </c>
      <c r="F37" s="76">
        <f>'result table'!F19</f>
        <v>1200</v>
      </c>
      <c r="G37" s="76">
        <f>'result table'!G19</f>
        <v>1400</v>
      </c>
      <c r="H37" s="76">
        <f>'result table'!H19</f>
        <v>1200</v>
      </c>
      <c r="I37" s="76">
        <f>'result table'!I19</f>
        <v>1200</v>
      </c>
      <c r="J37" s="76">
        <f>'result table'!J19</f>
        <v>1500</v>
      </c>
      <c r="K37" s="3"/>
      <c r="L37" s="80">
        <f>'result table'!L19</f>
        <v>2785</v>
      </c>
      <c r="M37" s="80">
        <f>'result table'!M19</f>
        <v>2785</v>
      </c>
      <c r="N37" s="80">
        <f>'result table'!N19</f>
        <v>1200</v>
      </c>
      <c r="O37" s="80">
        <f>'result table'!O19</f>
        <v>1200</v>
      </c>
      <c r="P37" s="80">
        <f>'result table'!P19</f>
        <v>1200</v>
      </c>
      <c r="Q37" s="80">
        <f>'result table'!Q19</f>
        <v>1200</v>
      </c>
      <c r="V37" s="12"/>
      <c r="W37" s="12"/>
      <c r="X37" s="12"/>
    </row>
    <row r="38" spans="1:24" x14ac:dyDescent="0.25">
      <c r="A38" s="72" t="str">
        <f>'result table'!A20</f>
        <v>total length</v>
      </c>
      <c r="B38" s="72" t="str">
        <f>'result table'!B20</f>
        <v>mm</v>
      </c>
      <c r="C38" s="56">
        <f>'result table'!C20</f>
        <v>1900</v>
      </c>
      <c r="D38" s="56">
        <f>'result table'!D20</f>
        <v>1900</v>
      </c>
      <c r="E38" s="56">
        <f>'result table'!E20</f>
        <v>1900</v>
      </c>
      <c r="F38" s="56">
        <f>'result table'!F20</f>
        <v>1900</v>
      </c>
      <c r="G38" s="56">
        <f>'result table'!G20</f>
        <v>1900</v>
      </c>
      <c r="H38" s="56">
        <f>'result table'!H20</f>
        <v>1900</v>
      </c>
      <c r="I38" s="56">
        <f>'result table'!I20</f>
        <v>1900</v>
      </c>
      <c r="J38" s="56">
        <f>'result table'!J20</f>
        <v>1900</v>
      </c>
      <c r="K38" s="3"/>
      <c r="L38" s="81">
        <f>'result table'!L20</f>
        <v>0</v>
      </c>
      <c r="M38" s="81">
        <f>'result table'!M20</f>
        <v>0</v>
      </c>
      <c r="N38" s="81">
        <f>'result table'!N20</f>
        <v>1900</v>
      </c>
      <c r="O38" s="81">
        <f>'result table'!O20</f>
        <v>1900</v>
      </c>
      <c r="P38" s="81">
        <f>'result table'!P20</f>
        <v>1900</v>
      </c>
      <c r="Q38" s="81">
        <f>'result table'!Q20</f>
        <v>1900</v>
      </c>
      <c r="V38" s="26"/>
      <c r="W38" s="26"/>
      <c r="X38" s="26"/>
    </row>
    <row r="39" spans="1:24" x14ac:dyDescent="0.25">
      <c r="A39" s="75" t="str">
        <f>'result table'!A21</f>
        <v>width</v>
      </c>
      <c r="B39" s="75" t="str">
        <f>'result table'!B21</f>
        <v>mm</v>
      </c>
      <c r="C39" s="76">
        <f>'result table'!C21</f>
        <v>800</v>
      </c>
      <c r="D39" s="76">
        <f>'result table'!D21</f>
        <v>800</v>
      </c>
      <c r="E39" s="76">
        <f>'result table'!E21</f>
        <v>1100</v>
      </c>
      <c r="F39" s="76">
        <f>'result table'!F21</f>
        <v>1100</v>
      </c>
      <c r="G39" s="76">
        <f>'result table'!G21</f>
        <v>1100</v>
      </c>
      <c r="H39" s="76">
        <f>'result table'!H21</f>
        <v>1100</v>
      </c>
      <c r="I39" s="76">
        <f>'result table'!I21</f>
        <v>1100</v>
      </c>
      <c r="J39" s="76">
        <f>'result table'!J21</f>
        <v>1100</v>
      </c>
      <c r="K39" s="3"/>
      <c r="L39" s="80">
        <f>'result table'!L21</f>
        <v>1848</v>
      </c>
      <c r="M39" s="80">
        <f>'result table'!M21</f>
        <v>1848</v>
      </c>
      <c r="N39" s="80">
        <f>'result table'!N21</f>
        <v>1100</v>
      </c>
      <c r="O39" s="80">
        <f>'result table'!O21</f>
        <v>1100</v>
      </c>
      <c r="P39" s="80">
        <f>'result table'!P21</f>
        <v>1100</v>
      </c>
      <c r="Q39" s="80">
        <f>'result table'!Q21</f>
        <v>1100</v>
      </c>
    </row>
    <row r="40" spans="1:24" x14ac:dyDescent="0.25">
      <c r="A40" s="72" t="str">
        <f>'result table'!A22</f>
        <v>vehicle height</v>
      </c>
      <c r="B40" s="72" t="str">
        <f>'result table'!B22</f>
        <v>mm</v>
      </c>
      <c r="C40" s="56">
        <f>'result table'!C22</f>
        <v>1352</v>
      </c>
      <c r="D40" s="56">
        <f>'result table'!D22</f>
        <v>1352</v>
      </c>
      <c r="E40" s="56">
        <f>'result table'!E22</f>
        <v>1703</v>
      </c>
      <c r="F40" s="56">
        <f>'result table'!F22</f>
        <v>1703</v>
      </c>
      <c r="G40" s="56">
        <f>'result table'!G22</f>
        <v>1703</v>
      </c>
      <c r="H40" s="56">
        <f>'result table'!H22</f>
        <v>1954</v>
      </c>
      <c r="I40" s="56">
        <f>'result table'!I22</f>
        <v>1954</v>
      </c>
      <c r="J40" s="56">
        <f>'result table'!J22</f>
        <v>1954</v>
      </c>
      <c r="K40" s="3"/>
      <c r="L40" s="80">
        <f>'result table'!L22</f>
        <v>1880</v>
      </c>
      <c r="M40" s="80">
        <f>'result table'!M22</f>
        <v>1880</v>
      </c>
      <c r="N40" s="80">
        <f>'result table'!N22</f>
        <v>1703</v>
      </c>
      <c r="O40" s="80">
        <f>'result table'!O22</f>
        <v>1703</v>
      </c>
      <c r="P40" s="80">
        <f>'result table'!P22</f>
        <v>1954</v>
      </c>
      <c r="Q40" s="80">
        <f>'result table'!Q22</f>
        <v>1954</v>
      </c>
    </row>
    <row r="41" spans="1:24" x14ac:dyDescent="0.25">
      <c r="A41" s="75" t="str">
        <f>'result table'!A23</f>
        <v>battery capacity</v>
      </c>
      <c r="B41" s="75" t="str">
        <f>'result table'!B23</f>
        <v>kWh</v>
      </c>
      <c r="C41" s="79">
        <f>'result table'!C23</f>
        <v>3.6222222222222222</v>
      </c>
      <c r="D41" s="79">
        <f>'result table'!D23</f>
        <v>6.78</v>
      </c>
      <c r="E41" s="79">
        <f>'result table'!E23</f>
        <v>5.9494444444444445</v>
      </c>
      <c r="F41" s="79">
        <f>'result table'!F23</f>
        <v>11.177899999999999</v>
      </c>
      <c r="G41" s="79">
        <f>'result table'!G23</f>
        <v>20.828666666666663</v>
      </c>
      <c r="H41" s="79">
        <f>'result table'!H23</f>
        <v>6.7455555555555557</v>
      </c>
      <c r="I41" s="79">
        <f>'result table'!I23</f>
        <v>13.621999999999998</v>
      </c>
      <c r="J41" s="79">
        <f>'result table'!J23</f>
        <v>25.666666666666664</v>
      </c>
      <c r="K41" s="10"/>
      <c r="L41" s="85">
        <f>'result table'!L23</f>
        <v>19.600000000000001</v>
      </c>
      <c r="M41" s="85">
        <f>'result table'!M23</f>
        <v>31.388888888888886</v>
      </c>
      <c r="N41" s="85">
        <f>'result table'!N23</f>
        <v>4.84</v>
      </c>
      <c r="O41" s="85">
        <f>'result table'!O23</f>
        <v>6.9444444444444446</v>
      </c>
      <c r="P41" s="85">
        <f>'result table'!P23</f>
        <v>6.06</v>
      </c>
      <c r="Q41" s="85">
        <f>'result table'!Q23</f>
        <v>9.0277777777777768</v>
      </c>
    </row>
    <row r="43" spans="1:24" x14ac:dyDescent="0.25">
      <c r="A43" t="s">
        <v>396</v>
      </c>
      <c r="B43" t="s">
        <v>311</v>
      </c>
      <c r="C43">
        <v>20</v>
      </c>
    </row>
    <row r="44" spans="1:24" x14ac:dyDescent="0.25">
      <c r="A44" t="s">
        <v>397</v>
      </c>
      <c r="B44" t="s">
        <v>311</v>
      </c>
      <c r="C44">
        <v>35</v>
      </c>
    </row>
    <row r="45" spans="1:24" x14ac:dyDescent="0.25">
      <c r="A45" t="s">
        <v>401</v>
      </c>
      <c r="B45" t="s">
        <v>152</v>
      </c>
      <c r="C45">
        <v>0.4</v>
      </c>
    </row>
    <row r="46" spans="1:24" x14ac:dyDescent="0.25">
      <c r="A46" t="s">
        <v>402</v>
      </c>
      <c r="B46" t="s">
        <v>152</v>
      </c>
      <c r="C46">
        <v>0.6</v>
      </c>
    </row>
    <row r="49" spans="1:21" ht="18.75" x14ac:dyDescent="0.3">
      <c r="A49" s="170" t="s">
        <v>404</v>
      </c>
    </row>
    <row r="50" spans="1:21" ht="17.100000000000001" customHeight="1" x14ac:dyDescent="0.25"/>
    <row r="51" spans="1:21" ht="17.100000000000001" customHeight="1" x14ac:dyDescent="0.25">
      <c r="A51" t="s">
        <v>347</v>
      </c>
      <c r="C51" s="13" t="s">
        <v>356</v>
      </c>
      <c r="G51" s="202" t="s">
        <v>374</v>
      </c>
      <c r="H51" s="116"/>
      <c r="I51" s="116"/>
      <c r="J51" s="116"/>
      <c r="K51" s="116"/>
      <c r="L51" s="116"/>
      <c r="M51" s="116"/>
      <c r="N51" s="277" t="s">
        <v>245</v>
      </c>
      <c r="O51" s="277"/>
      <c r="P51" s="277"/>
      <c r="Q51" s="277"/>
      <c r="R51" s="116"/>
      <c r="S51" s="116" t="s">
        <v>306</v>
      </c>
      <c r="T51" s="116"/>
      <c r="U51" s="203"/>
    </row>
    <row r="52" spans="1:21" ht="17.100000000000001" customHeight="1" x14ac:dyDescent="0.25">
      <c r="A52" t="s">
        <v>15</v>
      </c>
      <c r="C52" s="13">
        <v>1.6</v>
      </c>
      <c r="G52" s="204"/>
      <c r="H52" s="3"/>
      <c r="I52" s="3"/>
      <c r="J52" s="3"/>
      <c r="K52" s="3" t="s">
        <v>245</v>
      </c>
      <c r="L52" s="3"/>
      <c r="M52" s="3"/>
      <c r="N52" s="3"/>
      <c r="O52" s="3" t="s">
        <v>285</v>
      </c>
      <c r="P52" s="3" t="s">
        <v>246</v>
      </c>
      <c r="Q52" s="3" t="s">
        <v>247</v>
      </c>
      <c r="R52" s="3"/>
      <c r="S52" s="3" t="s">
        <v>285</v>
      </c>
      <c r="T52" s="3" t="s">
        <v>247</v>
      </c>
      <c r="U52" s="205"/>
    </row>
    <row r="53" spans="1:21" ht="17.100000000000001" customHeight="1" x14ac:dyDescent="0.25">
      <c r="A53" t="s">
        <v>315</v>
      </c>
      <c r="C53" s="13">
        <v>1.66</v>
      </c>
      <c r="G53" s="206" t="s">
        <v>248</v>
      </c>
      <c r="H53" t="s">
        <v>249</v>
      </c>
      <c r="I53">
        <v>600</v>
      </c>
      <c r="J53" t="s">
        <v>249</v>
      </c>
      <c r="K53">
        <v>465</v>
      </c>
      <c r="N53" t="s">
        <v>314</v>
      </c>
      <c r="O53">
        <v>153</v>
      </c>
      <c r="P53">
        <f>K54/2</f>
        <v>774.5</v>
      </c>
      <c r="Q53">
        <v>400</v>
      </c>
      <c r="S53">
        <v>390</v>
      </c>
      <c r="T53">
        <v>390</v>
      </c>
      <c r="U53" s="207"/>
    </row>
    <row r="54" spans="1:21" ht="17.100000000000001" customHeight="1" x14ac:dyDescent="0.25">
      <c r="A54" t="s">
        <v>348</v>
      </c>
      <c r="C54" s="13">
        <v>1.88</v>
      </c>
      <c r="G54" s="206" t="s">
        <v>250</v>
      </c>
      <c r="H54" t="s">
        <v>251</v>
      </c>
      <c r="I54">
        <v>1600</v>
      </c>
      <c r="J54" t="s">
        <v>251</v>
      </c>
      <c r="K54">
        <v>1549</v>
      </c>
      <c r="N54" t="s">
        <v>252</v>
      </c>
      <c r="O54">
        <v>75</v>
      </c>
      <c r="P54">
        <f>K54/2</f>
        <v>774.5</v>
      </c>
      <c r="Q54">
        <v>880</v>
      </c>
      <c r="S54">
        <f>O54</f>
        <v>75</v>
      </c>
      <c r="T54">
        <v>915</v>
      </c>
      <c r="U54" s="207"/>
    </row>
    <row r="55" spans="1:21" ht="17.100000000000001" customHeight="1" x14ac:dyDescent="0.25">
      <c r="A55" t="s">
        <v>349</v>
      </c>
      <c r="C55" s="13">
        <v>2.5</v>
      </c>
      <c r="G55" s="206" t="s">
        <v>253</v>
      </c>
      <c r="H55" t="s">
        <v>254</v>
      </c>
      <c r="I55">
        <v>700</v>
      </c>
      <c r="J55" t="s">
        <v>254</v>
      </c>
      <c r="N55" t="s">
        <v>255</v>
      </c>
      <c r="O55">
        <v>75</v>
      </c>
      <c r="P55">
        <v>1400</v>
      </c>
      <c r="Q55">
        <v>980</v>
      </c>
      <c r="S55">
        <f>O55</f>
        <v>75</v>
      </c>
      <c r="T55">
        <v>1015</v>
      </c>
      <c r="U55" s="207"/>
    </row>
    <row r="56" spans="1:21" x14ac:dyDescent="0.25">
      <c r="A56" t="s">
        <v>2</v>
      </c>
      <c r="C56" s="191">
        <f>C53*C54*0.8</f>
        <v>2.4966399999999997</v>
      </c>
      <c r="G56" s="206" t="s">
        <v>256</v>
      </c>
      <c r="I56">
        <f>t/WB*dist/2</f>
        <v>131.25</v>
      </c>
      <c r="N56" t="s">
        <v>9</v>
      </c>
      <c r="O56">
        <f>O53+O54+O55</f>
        <v>303</v>
      </c>
      <c r="P56" s="12">
        <f>(P53*O53+O54*P54+O55*P55)/O56</f>
        <v>929.32673267326732</v>
      </c>
      <c r="Q56" s="12">
        <f>(Q53*O53+O54*Q54+O55*Q55)/O56</f>
        <v>662.37623762376234</v>
      </c>
      <c r="S56">
        <f>S53+S54+S55</f>
        <v>540</v>
      </c>
      <c r="T56" s="12">
        <f>(T53*S53+S54*T54+S55*T55)/S56</f>
        <v>549.72222222222217</v>
      </c>
      <c r="U56" s="207"/>
    </row>
    <row r="57" spans="1:21" x14ac:dyDescent="0.25">
      <c r="A57" t="s">
        <v>350</v>
      </c>
      <c r="C57" s="13">
        <v>3</v>
      </c>
      <c r="G57" s="206" t="s">
        <v>257</v>
      </c>
      <c r="H57" t="s">
        <v>258</v>
      </c>
      <c r="I57">
        <v>600</v>
      </c>
      <c r="J57" t="s">
        <v>258</v>
      </c>
      <c r="U57" s="207"/>
    </row>
    <row r="58" spans="1:21" x14ac:dyDescent="0.25">
      <c r="A58" s="190" t="s">
        <v>351</v>
      </c>
      <c r="C58" s="13">
        <f>C57*cargo_SW</f>
        <v>300</v>
      </c>
      <c r="G58" s="206" t="s">
        <v>259</v>
      </c>
      <c r="H58" t="s">
        <v>260</v>
      </c>
      <c r="I58" s="26">
        <f>ATAN(half_t/I57)*180/PI()</f>
        <v>12.339087278326195</v>
      </c>
      <c r="J58" t="s">
        <v>260</v>
      </c>
      <c r="U58" s="207"/>
    </row>
    <row r="59" spans="1:21" x14ac:dyDescent="0.25">
      <c r="A59" t="s">
        <v>352</v>
      </c>
      <c r="C59" s="13">
        <v>1300</v>
      </c>
      <c r="G59" s="208" t="s">
        <v>262</v>
      </c>
      <c r="H59" s="160"/>
      <c r="I59" s="160">
        <v>300</v>
      </c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209"/>
    </row>
    <row r="60" spans="1:21" x14ac:dyDescent="0.25">
      <c r="A60" t="s">
        <v>353</v>
      </c>
      <c r="C60" s="13">
        <f>C59+C58*2</f>
        <v>1900</v>
      </c>
    </row>
    <row r="61" spans="1:21" x14ac:dyDescent="0.25">
      <c r="A61" t="s">
        <v>354</v>
      </c>
      <c r="C61" s="13">
        <f>C59+C58</f>
        <v>1600</v>
      </c>
    </row>
    <row r="62" spans="1:21" x14ac:dyDescent="0.25">
      <c r="A62" t="s">
        <v>355</v>
      </c>
      <c r="C62" s="13">
        <v>50</v>
      </c>
    </row>
    <row r="73" spans="8:9" x14ac:dyDescent="0.25">
      <c r="H73" s="3">
        <v>3</v>
      </c>
      <c r="I73" t="s">
        <v>263</v>
      </c>
    </row>
    <row r="89" spans="3:18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3"/>
    </row>
    <row r="90" spans="3:18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3"/>
    </row>
    <row r="93" spans="3:18" x14ac:dyDescent="0.25"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</row>
    <row r="110" spans="3:3" x14ac:dyDescent="0.25">
      <c r="C110" s="13"/>
    </row>
  </sheetData>
  <mergeCells count="1">
    <mergeCell ref="N51:Q51"/>
  </mergeCells>
  <phoneticPr fontId="6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35"/>
  <sheetViews>
    <sheetView zoomScale="85" zoomScaleNormal="85" workbookViewId="0">
      <selection activeCell="A19" sqref="A19"/>
    </sheetView>
  </sheetViews>
  <sheetFormatPr defaultRowHeight="15" x14ac:dyDescent="0.25"/>
  <cols>
    <col min="1" max="1" width="35.42578125" customWidth="1"/>
    <col min="2" max="5" width="12.7109375" customWidth="1"/>
    <col min="6" max="6" width="13.42578125" customWidth="1"/>
    <col min="7" max="8" width="12.42578125" bestFit="1" customWidth="1"/>
    <col min="9" max="9" width="13.42578125" customWidth="1"/>
    <col min="10" max="11" width="12.42578125" bestFit="1" customWidth="1"/>
  </cols>
  <sheetData>
    <row r="2" spans="1:13" ht="23.25" x14ac:dyDescent="0.35">
      <c r="A2" s="215" t="s">
        <v>214</v>
      </c>
      <c r="C2" s="6"/>
      <c r="D2" s="6"/>
      <c r="E2" s="6"/>
      <c r="F2" s="6"/>
    </row>
    <row r="3" spans="1:13" ht="29.25" customHeight="1" x14ac:dyDescent="0.25">
      <c r="A3" s="213" t="s">
        <v>375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</row>
    <row r="4" spans="1:13" x14ac:dyDescent="0.25">
      <c r="A4" t="s">
        <v>376</v>
      </c>
    </row>
    <row r="6" spans="1:13" x14ac:dyDescent="0.25">
      <c r="A6" t="s">
        <v>377</v>
      </c>
    </row>
    <row r="7" spans="1:13" x14ac:dyDescent="0.25">
      <c r="A7" t="s">
        <v>215</v>
      </c>
      <c r="B7">
        <v>0.4</v>
      </c>
    </row>
    <row r="8" spans="1:13" x14ac:dyDescent="0.25">
      <c r="A8" t="s">
        <v>216</v>
      </c>
      <c r="B8">
        <v>1.1499999999999999</v>
      </c>
      <c r="C8" t="s">
        <v>386</v>
      </c>
    </row>
    <row r="9" spans="1:13" x14ac:dyDescent="0.25">
      <c r="A9" s="1" t="s">
        <v>379</v>
      </c>
    </row>
    <row r="10" spans="1:13" x14ac:dyDescent="0.25">
      <c r="A10" t="s">
        <v>217</v>
      </c>
      <c r="B10" s="11">
        <v>0.25</v>
      </c>
      <c r="C10" t="s">
        <v>218</v>
      </c>
      <c r="E10" s="11"/>
    </row>
    <row r="11" spans="1:13" x14ac:dyDescent="0.25">
      <c r="A11" s="216" t="s">
        <v>219</v>
      </c>
      <c r="B11" s="217">
        <f>1000/PI()/2/B10</f>
        <v>636.61977236758139</v>
      </c>
      <c r="C11" t="s">
        <v>220</v>
      </c>
      <c r="E11" s="30"/>
      <c r="J11" s="3"/>
      <c r="K11" s="3"/>
      <c r="L11" s="3"/>
      <c r="M11" s="3"/>
    </row>
    <row r="12" spans="1:13" x14ac:dyDescent="0.25">
      <c r="A12" t="s">
        <v>221</v>
      </c>
      <c r="B12">
        <v>0.01</v>
      </c>
      <c r="E12" s="12"/>
    </row>
    <row r="13" spans="1:13" x14ac:dyDescent="0.25">
      <c r="H13" s="218"/>
      <c r="I13" s="10"/>
    </row>
    <row r="14" spans="1:13" ht="15.75" thickBot="1" x14ac:dyDescent="0.3"/>
    <row r="15" spans="1:13" x14ac:dyDescent="0.25">
      <c r="A15" s="13" t="s">
        <v>222</v>
      </c>
      <c r="B15" s="13"/>
      <c r="C15" s="278" t="s">
        <v>223</v>
      </c>
      <c r="D15" s="279"/>
      <c r="E15" s="281"/>
      <c r="F15" s="278" t="s">
        <v>224</v>
      </c>
      <c r="G15" s="279"/>
      <c r="H15" s="280"/>
    </row>
    <row r="16" spans="1:13" x14ac:dyDescent="0.25">
      <c r="A16" s="13" t="s">
        <v>9</v>
      </c>
      <c r="B16" s="13"/>
      <c r="C16" s="31">
        <f>'use case data'!F29</f>
        <v>0</v>
      </c>
      <c r="D16" s="13"/>
      <c r="E16" s="117"/>
      <c r="F16" s="31">
        <f>'use case data'!F31</f>
        <v>0</v>
      </c>
      <c r="G16" s="13"/>
      <c r="H16" s="32"/>
    </row>
    <row r="17" spans="1:8" s="2" customFormat="1" ht="30" x14ac:dyDescent="0.25">
      <c r="A17" s="13" t="s">
        <v>378</v>
      </c>
      <c r="B17" s="13"/>
      <c r="C17" s="33" t="s">
        <v>225</v>
      </c>
      <c r="D17" s="24" t="s">
        <v>226</v>
      </c>
      <c r="E17" s="220" t="s">
        <v>227</v>
      </c>
      <c r="F17" s="33" t="s">
        <v>225</v>
      </c>
      <c r="G17" s="24" t="s">
        <v>226</v>
      </c>
      <c r="H17" s="34" t="s">
        <v>227</v>
      </c>
    </row>
    <row r="18" spans="1:8" x14ac:dyDescent="0.25">
      <c r="A18" s="13" t="s">
        <v>228</v>
      </c>
      <c r="B18" s="13"/>
      <c r="C18" s="35">
        <v>122</v>
      </c>
      <c r="D18" s="16">
        <v>10</v>
      </c>
      <c r="E18" s="221">
        <v>42.7</v>
      </c>
      <c r="F18" s="35">
        <v>122</v>
      </c>
      <c r="G18" s="16">
        <v>10</v>
      </c>
      <c r="H18" s="36">
        <v>42.7</v>
      </c>
    </row>
    <row r="19" spans="1:8" x14ac:dyDescent="0.25">
      <c r="A19" s="17" t="s">
        <v>229</v>
      </c>
      <c r="B19" s="17"/>
      <c r="C19" s="31">
        <v>0</v>
      </c>
      <c r="D19" s="13">
        <v>11.3</v>
      </c>
      <c r="E19" s="117">
        <v>0</v>
      </c>
      <c r="F19" s="31">
        <v>0</v>
      </c>
      <c r="G19" s="13">
        <v>11.3</v>
      </c>
      <c r="H19" s="32">
        <v>0</v>
      </c>
    </row>
    <row r="20" spans="1:8" x14ac:dyDescent="0.25">
      <c r="A20" s="17" t="s">
        <v>230</v>
      </c>
      <c r="B20" s="17"/>
      <c r="C20" s="31">
        <v>0</v>
      </c>
      <c r="D20" s="13">
        <v>0.5</v>
      </c>
      <c r="E20" s="117">
        <v>3.23</v>
      </c>
      <c r="F20" s="31">
        <v>0</v>
      </c>
      <c r="G20" s="13">
        <v>0.5</v>
      </c>
      <c r="H20" s="32">
        <v>3.23</v>
      </c>
    </row>
    <row r="21" spans="1:8" x14ac:dyDescent="0.25">
      <c r="A21" s="14" t="s">
        <v>231</v>
      </c>
      <c r="B21" s="14"/>
      <c r="C21" s="37">
        <f>$B12*$C$16*(9.81)*COS(RADIANS(C19))</f>
        <v>0</v>
      </c>
      <c r="D21" s="18">
        <f>$B12*$C$16*(9.81)*COS(RADIANS(D19))</f>
        <v>0</v>
      </c>
      <c r="E21" s="219">
        <f>$B12*$C$16*(9.81)*COS(RADIANS(E19))</f>
        <v>0</v>
      </c>
      <c r="F21" s="37">
        <f>$B12*$F$16*(9.81)*COS(RADIANS(F19))</f>
        <v>0</v>
      </c>
      <c r="G21" s="18">
        <f>$B12*$F$16*(9.81)*COS(RADIANS(G19))</f>
        <v>0</v>
      </c>
      <c r="H21" s="38">
        <f>$B12*$F$16*(9.81)*COS(RADIANS(H19))</f>
        <v>0</v>
      </c>
    </row>
    <row r="22" spans="1:8" x14ac:dyDescent="0.25">
      <c r="A22" s="14" t="s">
        <v>232</v>
      </c>
      <c r="B22" s="14"/>
      <c r="C22" s="37">
        <f>$C$16*(9.81)*SIN(RADIANS(C19))</f>
        <v>0</v>
      </c>
      <c r="D22" s="18">
        <f>$C$16*(9.81)*SIN(RADIANS(D19))</f>
        <v>0</v>
      </c>
      <c r="E22" s="219">
        <f>$C$16*(9.81)*SIN(RADIANS(E19))</f>
        <v>0</v>
      </c>
      <c r="F22" s="37">
        <f>$F$16*(9.81)*SIN(RADIANS(F19))</f>
        <v>0</v>
      </c>
      <c r="G22" s="18">
        <f>$F$16*(9.81)*SIN(RADIANS(G19))</f>
        <v>0</v>
      </c>
      <c r="H22" s="38">
        <f t="shared" ref="H22" si="0">$F$16*(9.81)*SIN(RADIANS(H19))</f>
        <v>0</v>
      </c>
    </row>
    <row r="23" spans="1:8" x14ac:dyDescent="0.25">
      <c r="A23" s="14" t="s">
        <v>233</v>
      </c>
      <c r="B23" s="14"/>
      <c r="C23" s="37">
        <f>$C$16*C20</f>
        <v>0</v>
      </c>
      <c r="D23" s="18">
        <f>$C$16*D20</f>
        <v>0</v>
      </c>
      <c r="E23" s="219">
        <f>$C$16*E20</f>
        <v>0</v>
      </c>
      <c r="F23" s="37">
        <f>$F$16*F20</f>
        <v>0</v>
      </c>
      <c r="G23" s="18">
        <f t="shared" ref="G23:H23" si="1">$F$16*G20</f>
        <v>0</v>
      </c>
      <c r="H23" s="38">
        <f t="shared" si="1"/>
        <v>0</v>
      </c>
    </row>
    <row r="24" spans="1:8" x14ac:dyDescent="0.25">
      <c r="A24" s="14" t="s">
        <v>234</v>
      </c>
      <c r="B24" s="14"/>
      <c r="C24" s="37">
        <f t="shared" ref="C24:F24" si="2">0.5*1.2*(C18/3.6)^2*$B$8*$B$7</f>
        <v>316.974074074074</v>
      </c>
      <c r="D24" s="18">
        <f t="shared" si="2"/>
        <v>2.1296296296296293</v>
      </c>
      <c r="E24" s="219">
        <f t="shared" si="2"/>
        <v>38.829324074074087</v>
      </c>
      <c r="F24" s="37">
        <f t="shared" si="2"/>
        <v>316.974074074074</v>
      </c>
      <c r="G24" s="18">
        <f t="shared" ref="G24:H24" si="3">0.5*1.2*(G18/3.6)^2*$B$8*$B$7</f>
        <v>2.1296296296296293</v>
      </c>
      <c r="H24" s="38">
        <f t="shared" si="3"/>
        <v>38.829324074074087</v>
      </c>
    </row>
    <row r="25" spans="1:8" x14ac:dyDescent="0.25">
      <c r="A25" s="14" t="s">
        <v>235</v>
      </c>
      <c r="B25" s="14"/>
      <c r="C25" s="37">
        <f t="shared" ref="C25:H25" si="4">C21+C22+C23+C24</f>
        <v>316.974074074074</v>
      </c>
      <c r="D25" s="18">
        <f t="shared" si="4"/>
        <v>2.1296296296296293</v>
      </c>
      <c r="E25" s="219">
        <f t="shared" si="4"/>
        <v>38.829324074074087</v>
      </c>
      <c r="F25" s="37">
        <f t="shared" si="4"/>
        <v>316.974074074074</v>
      </c>
      <c r="G25" s="18">
        <f t="shared" si="4"/>
        <v>2.1296296296296293</v>
      </c>
      <c r="H25" s="38">
        <f t="shared" si="4"/>
        <v>38.829324074074087</v>
      </c>
    </row>
    <row r="26" spans="1:8" ht="14.25" customHeight="1" x14ac:dyDescent="0.25">
      <c r="A26" s="15" t="s">
        <v>236</v>
      </c>
      <c r="B26" s="15"/>
      <c r="C26" s="39">
        <f t="shared" ref="C26:H26" si="5">C25*$B10</f>
        <v>79.243518518518499</v>
      </c>
      <c r="D26" s="19">
        <f t="shared" si="5"/>
        <v>0.53240740740740733</v>
      </c>
      <c r="E26" s="222">
        <f t="shared" si="5"/>
        <v>9.7073310185185218</v>
      </c>
      <c r="F26" s="39">
        <f t="shared" si="5"/>
        <v>79.243518518518499</v>
      </c>
      <c r="G26" s="19">
        <f t="shared" si="5"/>
        <v>0.53240740740740733</v>
      </c>
      <c r="H26" s="40">
        <f t="shared" si="5"/>
        <v>9.7073310185185218</v>
      </c>
    </row>
    <row r="27" spans="1:8" x14ac:dyDescent="0.25">
      <c r="A27" s="15" t="s">
        <v>237</v>
      </c>
      <c r="B27" s="15"/>
      <c r="C27" s="39">
        <f t="shared" ref="C27:H27" si="6">C25*C18/3.6/1000</f>
        <v>10.741899176954728</v>
      </c>
      <c r="D27" s="19">
        <f t="shared" si="6"/>
        <v>5.9156378600823036E-3</v>
      </c>
      <c r="E27" s="222">
        <f t="shared" si="6"/>
        <v>0.46055892721193431</v>
      </c>
      <c r="F27" s="39">
        <f t="shared" si="6"/>
        <v>10.741899176954728</v>
      </c>
      <c r="G27" s="19">
        <f t="shared" si="6"/>
        <v>5.9156378600823036E-3</v>
      </c>
      <c r="H27" s="40">
        <f t="shared" si="6"/>
        <v>0.46055892721193431</v>
      </c>
    </row>
    <row r="28" spans="1:8" x14ac:dyDescent="0.25">
      <c r="A28" s="15" t="s">
        <v>238</v>
      </c>
      <c r="B28" s="15"/>
      <c r="C28" s="41">
        <f t="shared" ref="C28:H28" si="7">$B$11*C18/60</f>
        <v>1294.4602038140822</v>
      </c>
      <c r="D28" s="20">
        <f t="shared" si="7"/>
        <v>106.1032953945969</v>
      </c>
      <c r="E28" s="223">
        <f t="shared" si="7"/>
        <v>453.06107133492878</v>
      </c>
      <c r="F28" s="41">
        <f t="shared" si="7"/>
        <v>1294.4602038140822</v>
      </c>
      <c r="G28" s="20">
        <f t="shared" si="7"/>
        <v>106.1032953945969</v>
      </c>
      <c r="H28" s="42">
        <f t="shared" si="7"/>
        <v>453.06107133492878</v>
      </c>
    </row>
    <row r="29" spans="1:8" x14ac:dyDescent="0.25">
      <c r="A29" s="13"/>
      <c r="B29" s="13"/>
      <c r="C29" s="31"/>
      <c r="D29" s="13"/>
      <c r="E29" s="117"/>
      <c r="F29" s="31"/>
      <c r="G29" s="13"/>
      <c r="H29" s="32"/>
    </row>
    <row r="30" spans="1:8" x14ac:dyDescent="0.25">
      <c r="A30" s="13" t="s">
        <v>239</v>
      </c>
      <c r="B30" s="13"/>
      <c r="C30" s="31">
        <v>0.9</v>
      </c>
      <c r="D30" s="13">
        <v>0.9</v>
      </c>
      <c r="E30" s="117">
        <v>0.9</v>
      </c>
      <c r="F30" s="31">
        <v>0.9</v>
      </c>
      <c r="G30" s="13">
        <v>0.9</v>
      </c>
      <c r="H30" s="32">
        <v>0.9</v>
      </c>
    </row>
    <row r="31" spans="1:8" x14ac:dyDescent="0.25">
      <c r="A31" s="13" t="s">
        <v>240</v>
      </c>
      <c r="B31" s="13"/>
      <c r="C31" s="31">
        <v>1</v>
      </c>
      <c r="D31" s="13">
        <v>1</v>
      </c>
      <c r="E31" s="117">
        <v>1</v>
      </c>
      <c r="F31" s="31">
        <v>1</v>
      </c>
      <c r="G31" s="13">
        <v>1</v>
      </c>
      <c r="H31" s="32">
        <v>1</v>
      </c>
    </row>
    <row r="32" spans="1:8" x14ac:dyDescent="0.25">
      <c r="A32" s="13" t="s">
        <v>241</v>
      </c>
      <c r="B32" s="13"/>
      <c r="C32" s="31">
        <v>1</v>
      </c>
      <c r="D32" s="13">
        <f>$C32</f>
        <v>1</v>
      </c>
      <c r="E32" s="117">
        <f>$C32</f>
        <v>1</v>
      </c>
      <c r="F32" s="31">
        <v>1</v>
      </c>
      <c r="G32" s="13">
        <f>$C32</f>
        <v>1</v>
      </c>
      <c r="H32" s="32">
        <f>$C32</f>
        <v>1</v>
      </c>
    </row>
    <row r="33" spans="1:8" x14ac:dyDescent="0.25">
      <c r="A33" s="15" t="s">
        <v>242</v>
      </c>
      <c r="B33" s="15"/>
      <c r="C33" s="39">
        <f t="shared" ref="C33:H33" si="8">C26/C30/C31/C32</f>
        <v>88.048353909464993</v>
      </c>
      <c r="D33" s="19">
        <f t="shared" si="8"/>
        <v>0.59156378600823034</v>
      </c>
      <c r="E33" s="222">
        <f t="shared" si="8"/>
        <v>10.785923353909469</v>
      </c>
      <c r="F33" s="39">
        <f t="shared" si="8"/>
        <v>88.048353909464993</v>
      </c>
      <c r="G33" s="19">
        <f t="shared" si="8"/>
        <v>0.59156378600823034</v>
      </c>
      <c r="H33" s="40">
        <f t="shared" si="8"/>
        <v>10.785923353909469</v>
      </c>
    </row>
    <row r="34" spans="1:8" ht="14.25" customHeight="1" x14ac:dyDescent="0.25">
      <c r="A34" s="15" t="s">
        <v>243</v>
      </c>
      <c r="B34" s="15"/>
      <c r="C34" s="39">
        <f t="shared" ref="C34:H34" si="9">C27/$C30/C32</f>
        <v>11.935443529949698</v>
      </c>
      <c r="D34" s="19">
        <f t="shared" si="9"/>
        <v>6.5729309556470036E-3</v>
      </c>
      <c r="E34" s="222">
        <f t="shared" si="9"/>
        <v>0.51173214134659362</v>
      </c>
      <c r="F34" s="39">
        <f t="shared" si="9"/>
        <v>11.935443529949698</v>
      </c>
      <c r="G34" s="19">
        <f t="shared" si="9"/>
        <v>6.5729309556470036E-3</v>
      </c>
      <c r="H34" s="40">
        <f t="shared" si="9"/>
        <v>0.51173214134659362</v>
      </c>
    </row>
    <row r="35" spans="1:8" ht="15.75" thickBot="1" x14ac:dyDescent="0.3">
      <c r="A35" s="15" t="s">
        <v>244</v>
      </c>
      <c r="B35" s="15"/>
      <c r="C35" s="43">
        <f t="shared" ref="C35:H35" si="10">C28*C31</f>
        <v>1294.4602038140822</v>
      </c>
      <c r="D35" s="44">
        <f t="shared" si="10"/>
        <v>106.1032953945969</v>
      </c>
      <c r="E35" s="224">
        <f t="shared" si="10"/>
        <v>453.06107133492878</v>
      </c>
      <c r="F35" s="43">
        <f t="shared" si="10"/>
        <v>1294.4602038140822</v>
      </c>
      <c r="G35" s="44">
        <f t="shared" si="10"/>
        <v>106.1032953945969</v>
      </c>
      <c r="H35" s="45">
        <f t="shared" si="10"/>
        <v>453.06107133492878</v>
      </c>
    </row>
  </sheetData>
  <mergeCells count="2">
    <mergeCell ref="F15:H15"/>
    <mergeCell ref="C15:E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E6B28-7798-4A58-9CE0-83D1712DA00C}">
  <dimension ref="A1:V92"/>
  <sheetViews>
    <sheetView zoomScale="70" zoomScaleNormal="70" workbookViewId="0">
      <selection activeCell="A39" sqref="A39"/>
    </sheetView>
  </sheetViews>
  <sheetFormatPr defaultRowHeight="15" x14ac:dyDescent="0.25"/>
  <cols>
    <col min="1" max="1" width="29.85546875" customWidth="1"/>
    <col min="3" max="3" width="10.7109375" style="3" customWidth="1"/>
    <col min="4" max="10" width="10.7109375" customWidth="1"/>
    <col min="11" max="11" width="2.5703125" customWidth="1"/>
    <col min="12" max="13" width="12.7109375" customWidth="1"/>
    <col min="14" max="14" width="3.140625" customWidth="1"/>
    <col min="15" max="18" width="10.7109375" customWidth="1"/>
    <col min="20" max="20" width="9.7109375" bestFit="1" customWidth="1"/>
    <col min="22" max="22" width="11" customWidth="1"/>
  </cols>
  <sheetData>
    <row r="1" spans="1:18" ht="21" x14ac:dyDescent="0.35">
      <c r="A1" s="214" t="s">
        <v>390</v>
      </c>
    </row>
    <row r="3" spans="1:18" x14ac:dyDescent="0.25">
      <c r="C3" s="3" t="str">
        <f>packaging!C66</f>
        <v>V1</v>
      </c>
      <c r="D3" s="3" t="str">
        <f>packaging!D66</f>
        <v>V1</v>
      </c>
      <c r="E3" s="3" t="str">
        <f>packaging!E66</f>
        <v>V2</v>
      </c>
      <c r="F3" s="3" t="str">
        <f>packaging!F66</f>
        <v>V2</v>
      </c>
      <c r="G3" s="3" t="str">
        <f>packaging!G66</f>
        <v>V2</v>
      </c>
      <c r="H3" s="3" t="str">
        <f>packaging!H66</f>
        <v>V3</v>
      </c>
      <c r="I3" s="3" t="str">
        <f>packaging!I66</f>
        <v>V3</v>
      </c>
      <c r="J3" s="3" t="str">
        <f>packaging!J66</f>
        <v>V3</v>
      </c>
      <c r="K3" s="3"/>
      <c r="L3" s="3"/>
      <c r="M3" s="3"/>
      <c r="O3" s="3" t="str">
        <f>packaging!O66</f>
        <v>V2</v>
      </c>
    </row>
    <row r="4" spans="1:18" x14ac:dyDescent="0.25">
      <c r="C4" s="3" t="s">
        <v>299</v>
      </c>
      <c r="D4" t="s">
        <v>302</v>
      </c>
      <c r="E4" s="3" t="s">
        <v>299</v>
      </c>
      <c r="F4" t="s">
        <v>302</v>
      </c>
      <c r="G4" s="3" t="s">
        <v>300</v>
      </c>
      <c r="H4" s="3" t="s">
        <v>299</v>
      </c>
      <c r="I4" t="s">
        <v>302</v>
      </c>
      <c r="J4" s="3" t="s">
        <v>300</v>
      </c>
      <c r="O4" s="3" t="s">
        <v>302</v>
      </c>
      <c r="P4" t="s">
        <v>300</v>
      </c>
      <c r="Q4" t="s">
        <v>302</v>
      </c>
      <c r="R4" t="s">
        <v>300</v>
      </c>
    </row>
    <row r="5" spans="1:18" x14ac:dyDescent="0.25">
      <c r="A5" s="131" t="str">
        <f>packaging!A67</f>
        <v>Front end</v>
      </c>
      <c r="B5" s="61" t="str">
        <f>packaging!B67</f>
        <v>kg</v>
      </c>
      <c r="C5" s="61">
        <f>packaging!C67</f>
        <v>40</v>
      </c>
      <c r="D5" s="61">
        <f>packaging!D67</f>
        <v>40</v>
      </c>
      <c r="E5" s="61">
        <f>packaging!E67</f>
        <v>40</v>
      </c>
      <c r="F5" s="61">
        <f>packaging!F67</f>
        <v>40</v>
      </c>
      <c r="G5" s="61">
        <f>packaging!G67</f>
        <v>40</v>
      </c>
      <c r="H5" s="61">
        <f>packaging!H67</f>
        <v>40</v>
      </c>
      <c r="I5" s="61">
        <f>packaging!I67</f>
        <v>40</v>
      </c>
      <c r="J5" s="61">
        <f>packaging!J67</f>
        <v>40</v>
      </c>
      <c r="K5" s="3"/>
      <c r="O5" s="61">
        <f>packaging!O67</f>
        <v>40</v>
      </c>
      <c r="P5" s="61">
        <f>packaging!P67</f>
        <v>40</v>
      </c>
      <c r="Q5" s="61">
        <f>packaging!Q67</f>
        <v>40</v>
      </c>
      <c r="R5" s="61">
        <f>packaging!R67</f>
        <v>40</v>
      </c>
    </row>
    <row r="6" spans="1:18" ht="17.25" x14ac:dyDescent="0.25">
      <c r="A6" s="13" t="s">
        <v>265</v>
      </c>
      <c r="B6" s="13" t="s">
        <v>287</v>
      </c>
      <c r="C6" s="129">
        <f>T50*2+R58</f>
        <v>0.44868005049999993</v>
      </c>
      <c r="D6" s="129">
        <f>$C6</f>
        <v>0.44868005049999993</v>
      </c>
      <c r="E6" s="129">
        <f>$C6</f>
        <v>0.44868005049999993</v>
      </c>
      <c r="F6" s="129">
        <f t="shared" ref="F6:H6" si="0">D6</f>
        <v>0.44868005049999993</v>
      </c>
      <c r="G6" s="129">
        <f t="shared" si="0"/>
        <v>0.44868005049999993</v>
      </c>
      <c r="H6" s="129">
        <f t="shared" si="0"/>
        <v>0.44868005049999993</v>
      </c>
      <c r="I6" s="129">
        <f t="shared" ref="I6" si="1">G6</f>
        <v>0.44868005049999993</v>
      </c>
      <c r="J6" s="129">
        <f t="shared" ref="J6" si="2">H6</f>
        <v>0.44868005049999993</v>
      </c>
      <c r="K6" s="128"/>
      <c r="O6" s="129">
        <f>G6</f>
        <v>0.44868005049999993</v>
      </c>
      <c r="P6" s="129">
        <f t="shared" ref="P6:R6" si="3">H6</f>
        <v>0.44868005049999993</v>
      </c>
      <c r="Q6" s="129">
        <f t="shared" si="3"/>
        <v>0.44868005049999993</v>
      </c>
      <c r="R6" s="129">
        <f t="shared" si="3"/>
        <v>0.44868005049999993</v>
      </c>
    </row>
    <row r="7" spans="1:18" ht="17.25" x14ac:dyDescent="0.25">
      <c r="A7" s="13" t="s">
        <v>266</v>
      </c>
      <c r="B7" s="13" t="s">
        <v>287</v>
      </c>
      <c r="C7" s="129">
        <f>C5*((packaging!C$102+TRR-packaging!C70)/1000)^2</f>
        <v>20.13607692301531</v>
      </c>
      <c r="D7" s="129">
        <f>D5*((packaging!D$102+TRR-packaging!D70)/1000)^2</f>
        <v>18.759572464867816</v>
      </c>
      <c r="E7" s="129">
        <f>E5*((packaging!E$102+TRR-packaging!E70)/1000)^2</f>
        <v>33.084875251415376</v>
      </c>
      <c r="F7" s="129">
        <f>F5*((packaging!F$102+TRR-packaging!F70)/1000)^2</f>
        <v>30.243302361312768</v>
      </c>
      <c r="G7" s="129">
        <f>G5*((packaging!G$102+TRR-packaging!G70)/1000)^2</f>
        <v>25.89236121074557</v>
      </c>
      <c r="H7" s="129">
        <f>H5*((packaging!H$102+TRR-packaging!H70)/1000)^2</f>
        <v>43.584345728931581</v>
      </c>
      <c r="I7" s="129">
        <f>I5*((packaging!I$102+TRR-packaging!I70)/1000)^2</f>
        <v>39.406057148515281</v>
      </c>
      <c r="J7" s="129">
        <f>J5*((packaging!J$102+TRR-packaging!J70)/1000)^2</f>
        <v>33.497216830487297</v>
      </c>
      <c r="K7" s="128"/>
      <c r="O7" s="129">
        <f>O5*((packaging!O$102+TRR-packaging!O70)/1000)^2</f>
        <v>35.48729472159102</v>
      </c>
      <c r="P7" s="129">
        <f>P5*((packaging!P$102+TRR-packaging!P70)/1000)^2</f>
        <v>34.144906785979011</v>
      </c>
      <c r="Q7" s="129">
        <f>Q5*((packaging!Q$102+TRR-packaging!Q70)/1000)^2</f>
        <v>46.17250499316264</v>
      </c>
      <c r="R7" s="129">
        <f>R5*((packaging!R$102+TRR-packaging!R70)/1000)^2</f>
        <v>43.879603045162455</v>
      </c>
    </row>
    <row r="8" spans="1:18" ht="17.25" x14ac:dyDescent="0.25">
      <c r="A8" s="13" t="s">
        <v>267</v>
      </c>
      <c r="B8" s="13" t="s">
        <v>287</v>
      </c>
      <c r="C8" s="129">
        <f>C6+C7</f>
        <v>20.584756973515308</v>
      </c>
      <c r="D8" s="129">
        <f>D7+D6</f>
        <v>19.208252515367814</v>
      </c>
      <c r="E8" s="129">
        <f>E7+E6</f>
        <v>33.533555301915378</v>
      </c>
      <c r="F8" s="129">
        <f t="shared" ref="F8:H8" si="4">F7+F6</f>
        <v>30.691982411812766</v>
      </c>
      <c r="G8" s="129">
        <f t="shared" si="4"/>
        <v>26.341041261245568</v>
      </c>
      <c r="H8" s="129">
        <f t="shared" si="4"/>
        <v>44.033025779431583</v>
      </c>
      <c r="I8" s="129">
        <f t="shared" ref="I8" si="5">I7+I6</f>
        <v>39.854737199015283</v>
      </c>
      <c r="J8" s="129">
        <f t="shared" ref="J8" si="6">J7+J6</f>
        <v>33.945896880987299</v>
      </c>
      <c r="K8" s="128"/>
      <c r="O8" s="129">
        <f t="shared" ref="O8" si="7">O7+O6</f>
        <v>35.935974772091022</v>
      </c>
      <c r="P8" s="129">
        <f t="shared" ref="P8" si="8">P7+P6</f>
        <v>34.593586836479012</v>
      </c>
      <c r="Q8" s="129">
        <f t="shared" ref="Q8" si="9">Q7+Q6</f>
        <v>46.621185043662642</v>
      </c>
      <c r="R8" s="129">
        <f t="shared" ref="R8" si="10">R7+R6</f>
        <v>44.328283095662457</v>
      </c>
    </row>
    <row r="9" spans="1:18" x14ac:dyDescent="0.25">
      <c r="A9" s="131" t="str">
        <f>packaging!A71</f>
        <v>Rear end</v>
      </c>
      <c r="B9" s="131" t="str">
        <f>packaging!B71</f>
        <v>kg</v>
      </c>
      <c r="C9" s="61">
        <f>packaging!C71</f>
        <v>30</v>
      </c>
      <c r="D9" s="131">
        <f>packaging!D71</f>
        <v>30</v>
      </c>
      <c r="E9" s="131">
        <f>packaging!E71</f>
        <v>30</v>
      </c>
      <c r="F9" s="131">
        <f>packaging!F71</f>
        <v>30</v>
      </c>
      <c r="G9" s="131">
        <f>packaging!G71</f>
        <v>30</v>
      </c>
      <c r="H9" s="131">
        <f>packaging!H71</f>
        <v>30</v>
      </c>
      <c r="I9" s="131">
        <f>packaging!I71</f>
        <v>30</v>
      </c>
      <c r="J9" s="131">
        <f>packaging!J71</f>
        <v>30</v>
      </c>
      <c r="K9" s="7"/>
      <c r="O9" s="61">
        <f>packaging!O71</f>
        <v>30</v>
      </c>
      <c r="P9" s="61">
        <f>packaging!P71</f>
        <v>30</v>
      </c>
      <c r="Q9" s="61">
        <f>packaging!Q71</f>
        <v>30</v>
      </c>
      <c r="R9" s="61">
        <f>packaging!R71</f>
        <v>30</v>
      </c>
    </row>
    <row r="10" spans="1:18" ht="17.25" x14ac:dyDescent="0.25">
      <c r="A10" s="13" t="s">
        <v>265</v>
      </c>
      <c r="B10" s="13" t="s">
        <v>287</v>
      </c>
      <c r="C10" s="129">
        <f>R59+T55</f>
        <v>0.30178604085331634</v>
      </c>
      <c r="D10" s="129">
        <f>$C10</f>
        <v>0.30178604085331634</v>
      </c>
      <c r="E10" s="129">
        <f>$C10</f>
        <v>0.30178604085331634</v>
      </c>
      <c r="F10" s="129">
        <f>$C10</f>
        <v>0.30178604085331634</v>
      </c>
      <c r="G10" s="129">
        <f>E10</f>
        <v>0.30178604085331634</v>
      </c>
      <c r="H10" s="129">
        <f>G10</f>
        <v>0.30178604085331634</v>
      </c>
      <c r="I10" s="129">
        <f t="shared" ref="I10:J10" si="11">H10</f>
        <v>0.30178604085331634</v>
      </c>
      <c r="J10" s="129">
        <f t="shared" si="11"/>
        <v>0.30178604085331634</v>
      </c>
      <c r="O10" s="129">
        <f>G10</f>
        <v>0.30178604085331634</v>
      </c>
      <c r="P10" s="129">
        <f t="shared" ref="P10:R10" si="12">H10</f>
        <v>0.30178604085331634</v>
      </c>
      <c r="Q10" s="129">
        <f t="shared" si="12"/>
        <v>0.30178604085331634</v>
      </c>
      <c r="R10" s="129">
        <f t="shared" si="12"/>
        <v>0.30178604085331634</v>
      </c>
    </row>
    <row r="11" spans="1:18" ht="17.25" x14ac:dyDescent="0.25">
      <c r="A11" s="13" t="s">
        <v>266</v>
      </c>
      <c r="B11" s="13" t="s">
        <v>287</v>
      </c>
      <c r="C11" s="129">
        <f>C9*((packaging!$C$102+TRR-packaging!C74)/1000)^2</f>
        <v>12.578007090719064</v>
      </c>
      <c r="D11" s="129">
        <f>D9*((packaging!D$102+TRR-packaging!D74)/1000)^2</f>
        <v>11.637439400397303</v>
      </c>
      <c r="E11" s="129">
        <f>E9*((packaging!E$102+TRR-packaging!E74)/1000)^2</f>
        <v>21.545776260922068</v>
      </c>
      <c r="F11" s="129">
        <f>F9*((packaging!F$102+TRR-packaging!F74)/1000)^2</f>
        <v>19.56314487550652</v>
      </c>
      <c r="G11" s="129">
        <f>G9*((packaging!G$102+TRR-packaging!G74)/1000)^2</f>
        <v>16.541645655557971</v>
      </c>
      <c r="H11" s="129">
        <f>H9*((packaging!H$102+TRR-packaging!H74)/1000)^2</f>
        <v>28.920482562340748</v>
      </c>
      <c r="I11" s="129">
        <f>I9*((packaging!I$102+TRR-packaging!I74)/1000)^2</f>
        <v>25.97758449551257</v>
      </c>
      <c r="J11" s="129">
        <f>J9*((packaging!J$102+TRR-packaging!J74)/1000)^2</f>
        <v>21.834015071845062</v>
      </c>
      <c r="K11" s="3"/>
      <c r="O11" s="129">
        <f>O9*((packaging!O$102+TRR-packaging!O74)/1000)^2</f>
        <v>23.226909695901792</v>
      </c>
      <c r="P11" s="129">
        <f>P9*((packaging!P$102+TRR-packaging!P74)/1000)^2</f>
        <v>22.287028755347574</v>
      </c>
      <c r="Q11" s="129">
        <f>Q9*((packaging!Q$102+TRR-packaging!Q74)/1000)^2</f>
        <v>30.747970104166615</v>
      </c>
      <c r="R11" s="129">
        <f>R9*((packaging!R$102+TRR-packaging!R74)/1000)^2</f>
        <v>29.128794945855702</v>
      </c>
    </row>
    <row r="12" spans="1:18" ht="17.25" x14ac:dyDescent="0.25">
      <c r="A12" s="13" t="s">
        <v>267</v>
      </c>
      <c r="B12" s="13" t="s">
        <v>287</v>
      </c>
      <c r="C12" s="129">
        <f>C10+C11</f>
        <v>12.879793131572381</v>
      </c>
      <c r="D12" s="129">
        <f>D11+D10</f>
        <v>11.93922544125062</v>
      </c>
      <c r="E12" s="129">
        <f>E11+E10</f>
        <v>21.847562301775383</v>
      </c>
      <c r="F12" s="129">
        <f>F11+F10</f>
        <v>19.864930916359835</v>
      </c>
      <c r="G12" s="129">
        <f>G11+G10</f>
        <v>16.843431696411287</v>
      </c>
      <c r="H12" s="129">
        <f>H11+H10</f>
        <v>29.222268603194063</v>
      </c>
      <c r="I12" s="129">
        <f t="shared" ref="I12:J12" si="13">I11+I10</f>
        <v>26.279370536365885</v>
      </c>
      <c r="J12" s="129">
        <f t="shared" si="13"/>
        <v>22.135801112698378</v>
      </c>
      <c r="K12" s="3"/>
      <c r="O12" s="129">
        <f t="shared" ref="O12" si="14">O11+O10</f>
        <v>23.528695736755108</v>
      </c>
      <c r="P12" s="129">
        <f t="shared" ref="P12" si="15">P11+P10</f>
        <v>22.588814796200889</v>
      </c>
      <c r="Q12" s="129">
        <f t="shared" ref="Q12" si="16">Q11+Q10</f>
        <v>31.049756145019931</v>
      </c>
      <c r="R12" s="129">
        <f t="shared" ref="R12" si="17">R11+R10</f>
        <v>29.430580986709018</v>
      </c>
    </row>
    <row r="13" spans="1:18" x14ac:dyDescent="0.25">
      <c r="A13" s="131" t="str">
        <f>packaging!A75</f>
        <v>power electronics</v>
      </c>
      <c r="B13" s="131" t="str">
        <f>packaging!B75</f>
        <v>kg</v>
      </c>
      <c r="C13" s="61">
        <f>packaging!C75</f>
        <v>10</v>
      </c>
      <c r="D13" s="61">
        <f>packaging!D75</f>
        <v>10</v>
      </c>
      <c r="E13" s="61">
        <f>packaging!E75</f>
        <v>10</v>
      </c>
      <c r="F13" s="61">
        <f>packaging!F75</f>
        <v>10</v>
      </c>
      <c r="G13" s="61">
        <f>packaging!G75</f>
        <v>10</v>
      </c>
      <c r="H13" s="61">
        <f>packaging!H75</f>
        <v>10</v>
      </c>
      <c r="I13" s="61">
        <f>packaging!I75</f>
        <v>10</v>
      </c>
      <c r="J13" s="61">
        <f>packaging!J75</f>
        <v>10</v>
      </c>
      <c r="K13" s="3"/>
      <c r="O13" s="61">
        <f>packaging!O75</f>
        <v>10</v>
      </c>
      <c r="P13" s="61">
        <f>packaging!P75</f>
        <v>10</v>
      </c>
      <c r="Q13" s="61">
        <f>packaging!Q75</f>
        <v>10</v>
      </c>
      <c r="R13" s="61">
        <f>packaging!R75</f>
        <v>10</v>
      </c>
    </row>
    <row r="14" spans="1:18" ht="17.25" x14ac:dyDescent="0.25">
      <c r="A14" s="13" t="s">
        <v>265</v>
      </c>
      <c r="B14" s="13" t="s">
        <v>287</v>
      </c>
      <c r="C14" s="129">
        <f>R60</f>
        <v>6.6666666666666666E-2</v>
      </c>
      <c r="D14" s="129">
        <f>$C14</f>
        <v>6.6666666666666666E-2</v>
      </c>
      <c r="E14" s="129">
        <f>$C14</f>
        <v>6.6666666666666666E-2</v>
      </c>
      <c r="F14" s="129">
        <f>$C14</f>
        <v>6.6666666666666666E-2</v>
      </c>
      <c r="G14" s="129">
        <f>E14</f>
        <v>6.6666666666666666E-2</v>
      </c>
      <c r="H14" s="129">
        <f>G14</f>
        <v>6.6666666666666666E-2</v>
      </c>
      <c r="I14" s="129">
        <f t="shared" ref="I14:J14" si="18">H14</f>
        <v>6.6666666666666666E-2</v>
      </c>
      <c r="J14" s="129">
        <f t="shared" si="18"/>
        <v>6.6666666666666666E-2</v>
      </c>
      <c r="K14" s="3"/>
      <c r="O14" s="129">
        <f>G14</f>
        <v>6.6666666666666666E-2</v>
      </c>
      <c r="P14" s="129">
        <f t="shared" ref="P14:R14" si="19">H14</f>
        <v>6.6666666666666666E-2</v>
      </c>
      <c r="Q14" s="129">
        <f t="shared" si="19"/>
        <v>6.6666666666666666E-2</v>
      </c>
      <c r="R14" s="129">
        <f t="shared" si="19"/>
        <v>6.6666666666666666E-2</v>
      </c>
    </row>
    <row r="15" spans="1:18" ht="17.25" x14ac:dyDescent="0.25">
      <c r="A15" s="13" t="s">
        <v>266</v>
      </c>
      <c r="B15" s="13" t="s">
        <v>287</v>
      </c>
      <c r="C15" s="129">
        <f>C13*((packaging!$C$102+TRR-packaging!C78)/1000)^2</f>
        <v>2.4950846806252929</v>
      </c>
      <c r="D15" s="129">
        <f>D13*((packaging!D$102+TRR-packaging!D78)/1000)^2</f>
        <v>2.2546157552855179</v>
      </c>
      <c r="E15" s="129">
        <f>E13*((packaging!E$102+TRR-packaging!E78)/1000)^2</f>
        <v>4.8924766768092933</v>
      </c>
      <c r="F15" s="129">
        <f>F13*((packaging!F$102+TRR-packaging!F78)/1000)^2</f>
        <v>4.3497992567239363</v>
      </c>
      <c r="G15" s="129">
        <f>G13*((packaging!G$102+TRR-packaging!G78)/1000)^2</f>
        <v>3.5349585659914777</v>
      </c>
      <c r="H15" s="129">
        <f>H13*((packaging!H$102+TRR-packaging!H78)/1000)^2</f>
        <v>6.9529449579578184</v>
      </c>
      <c r="I15" s="129">
        <f>I13*((packaging!I$102+TRR-packaging!I78)/1000)^2</f>
        <v>6.1238129063034643</v>
      </c>
      <c r="J15" s="129">
        <f>J13*((packaging!J$102+TRR-packaging!J78)/1000)^2</f>
        <v>4.9718327790503958</v>
      </c>
      <c r="K15" s="3"/>
      <c r="O15" s="129">
        <f>O13*((packaging!O$102+TRR-packaging!O78)/1000)^2</f>
        <v>5.3568286131331817</v>
      </c>
      <c r="P15" s="129">
        <f>P13*((packaging!P$102+TRR-packaging!P78)/1000)^2</f>
        <v>5.0967751902114014</v>
      </c>
      <c r="Q15" s="129">
        <f>Q13*((packaging!Q$102+TRR-packaging!Q78)/1000)^2</f>
        <v>7.4716906862039592</v>
      </c>
      <c r="R15" s="129">
        <f>R13*((packaging!R$102+TRR-packaging!R78)/1000)^2</f>
        <v>7.0119344119175455</v>
      </c>
    </row>
    <row r="16" spans="1:18" ht="17.25" x14ac:dyDescent="0.25">
      <c r="A16" s="13" t="s">
        <v>267</v>
      </c>
      <c r="B16" s="13" t="s">
        <v>287</v>
      </c>
      <c r="C16" s="129">
        <f>C14+C15</f>
        <v>2.5617513472919597</v>
      </c>
      <c r="D16" s="129">
        <f>D15+D14</f>
        <v>2.3212824219521848</v>
      </c>
      <c r="E16" s="129">
        <f>E15+E14</f>
        <v>4.9591433434759598</v>
      </c>
      <c r="F16" s="129">
        <f>F15+F14</f>
        <v>4.4164659233906027</v>
      </c>
      <c r="G16" s="129">
        <f>G15+G14</f>
        <v>3.6016252326581446</v>
      </c>
      <c r="H16" s="129">
        <f>H15+H14</f>
        <v>7.0196116246244848</v>
      </c>
      <c r="I16" s="129">
        <f t="shared" ref="I16:J16" si="20">I15+I14</f>
        <v>6.1904795729701307</v>
      </c>
      <c r="J16" s="129">
        <f t="shared" si="20"/>
        <v>5.0384994457170622</v>
      </c>
      <c r="K16" s="3"/>
      <c r="O16" s="129">
        <f t="shared" ref="O16" si="21">O15+O14</f>
        <v>5.4234952797998481</v>
      </c>
      <c r="P16" s="129">
        <f t="shared" ref="P16" si="22">P15+P14</f>
        <v>5.1634418568780678</v>
      </c>
      <c r="Q16" s="129">
        <f t="shared" ref="Q16" si="23">Q15+Q14</f>
        <v>7.5383573528706256</v>
      </c>
      <c r="R16" s="129">
        <f t="shared" ref="R16" si="24">R15+R14</f>
        <v>7.0786010785842119</v>
      </c>
    </row>
    <row r="17" spans="1:18" x14ac:dyDescent="0.25">
      <c r="A17" s="131" t="str">
        <f>packaging!A79</f>
        <v>cargo structure</v>
      </c>
      <c r="B17" s="131" t="str">
        <f>packaging!B79</f>
        <v>kg</v>
      </c>
      <c r="C17" s="61">
        <f>packaging!C79</f>
        <v>20</v>
      </c>
      <c r="D17" s="61">
        <f>packaging!D79</f>
        <v>20</v>
      </c>
      <c r="E17" s="61">
        <f>packaging!E79</f>
        <v>20</v>
      </c>
      <c r="F17" s="61">
        <f>packaging!F79</f>
        <v>20</v>
      </c>
      <c r="G17" s="61">
        <f>packaging!G79</f>
        <v>20</v>
      </c>
      <c r="H17" s="61">
        <f>packaging!H79</f>
        <v>20</v>
      </c>
      <c r="I17" s="61">
        <f>packaging!I79</f>
        <v>20</v>
      </c>
      <c r="J17" s="61">
        <f>packaging!J79</f>
        <v>20</v>
      </c>
      <c r="K17" s="3"/>
      <c r="O17" s="61">
        <f>packaging!O79</f>
        <v>20</v>
      </c>
      <c r="P17" s="61">
        <f>packaging!P79</f>
        <v>20</v>
      </c>
      <c r="Q17" s="61">
        <f>packaging!Q79</f>
        <v>20</v>
      </c>
      <c r="R17" s="61">
        <f>packaging!R79</f>
        <v>20</v>
      </c>
    </row>
    <row r="18" spans="1:18" ht="17.25" x14ac:dyDescent="0.25">
      <c r="A18" s="13" t="s">
        <v>265</v>
      </c>
      <c r="B18" s="13" t="s">
        <v>287</v>
      </c>
      <c r="C18" s="129">
        <f>R61</f>
        <v>2.1333333333333333</v>
      </c>
      <c r="D18" s="129">
        <f>$C18</f>
        <v>2.1333333333333333</v>
      </c>
      <c r="E18" s="129">
        <f>$C18</f>
        <v>2.1333333333333333</v>
      </c>
      <c r="F18" s="129">
        <f>$C18</f>
        <v>2.1333333333333333</v>
      </c>
      <c r="G18" s="129">
        <f>E18</f>
        <v>2.1333333333333333</v>
      </c>
      <c r="H18" s="129">
        <f>G18</f>
        <v>2.1333333333333333</v>
      </c>
      <c r="I18" s="129">
        <f t="shared" ref="I18:J18" si="25">H18</f>
        <v>2.1333333333333333</v>
      </c>
      <c r="J18" s="129">
        <f t="shared" si="25"/>
        <v>2.1333333333333333</v>
      </c>
      <c r="K18" s="3"/>
      <c r="O18" s="129">
        <f>G18</f>
        <v>2.1333333333333333</v>
      </c>
      <c r="P18" s="129">
        <f t="shared" ref="P18:R18" si="26">H18</f>
        <v>2.1333333333333333</v>
      </c>
      <c r="Q18" s="129">
        <f t="shared" si="26"/>
        <v>2.1333333333333333</v>
      </c>
      <c r="R18" s="129">
        <f t="shared" si="26"/>
        <v>2.1333333333333333</v>
      </c>
    </row>
    <row r="19" spans="1:18" ht="17.25" x14ac:dyDescent="0.25">
      <c r="A19" s="13" t="s">
        <v>266</v>
      </c>
      <c r="B19" s="13" t="s">
        <v>287</v>
      </c>
      <c r="C19" s="129">
        <f>C17*((packaging!$C$102+TRR-packaging!C82)/1000)^2</f>
        <v>3.27916748752652E-2</v>
      </c>
      <c r="D19" s="129">
        <f>D17*((packaging!D$102+TRR-packaging!D82)/1000)^2</f>
        <v>8.4947940066507188E-2</v>
      </c>
      <c r="E19" s="129">
        <f>E17*((packaging!E$102+TRR-packaging!E82)/1000)^2</f>
        <v>0.23964039870159323</v>
      </c>
      <c r="F19" s="129">
        <f>F17*((packaging!F$102+TRR-packaging!F82)/1000)^2</f>
        <v>9.6688638909685903E-2</v>
      </c>
      <c r="G19" s="129">
        <f>G17*((packaging!G$102+TRR-packaging!G82)/1000)^2</f>
        <v>4.1499245914239358E-4</v>
      </c>
      <c r="H19" s="129">
        <f>H17*((packaging!H$102+TRR-packaging!H82)/1000)^2</f>
        <v>1.1891902033223609</v>
      </c>
      <c r="I19" s="129">
        <f>I17*((packaging!I$102+TRR-packaging!I82)/1000)^2</f>
        <v>0.74149424415968157</v>
      </c>
      <c r="J19" s="129">
        <f>J17*((packaging!J$102+TRR-packaging!J82)/1000)^2</f>
        <v>0.26501657850895444</v>
      </c>
      <c r="K19" s="3"/>
      <c r="O19" s="129">
        <f>O17*((packaging!O$102+TRR-packaging!O82)/1000)^2</f>
        <v>1.6199023607955112</v>
      </c>
      <c r="P19" s="129">
        <f>P17*((packaging!P$102+TRR-packaging!P82)/1000)^2</f>
        <v>1.831129131498719</v>
      </c>
      <c r="Q19" s="129">
        <f>Q17*((packaging!Q$102+TRR-packaging!Q82)/1000)^2</f>
        <v>1.5413526876173176</v>
      </c>
      <c r="R19" s="129">
        <f>R17*((packaging!R$102+TRR-packaging!R82)/1000)^2</f>
        <v>1.8559529097013028</v>
      </c>
    </row>
    <row r="20" spans="1:18" ht="17.25" x14ac:dyDescent="0.25">
      <c r="A20" s="13" t="s">
        <v>267</v>
      </c>
      <c r="B20" s="13" t="s">
        <v>287</v>
      </c>
      <c r="C20" s="129">
        <f>C18+C19</f>
        <v>2.1661250082085983</v>
      </c>
      <c r="D20" s="129">
        <f>D19+D18</f>
        <v>2.2182812733998407</v>
      </c>
      <c r="E20" s="129">
        <f>E19+E18</f>
        <v>2.3729737320349265</v>
      </c>
      <c r="F20" s="129">
        <f>F19+F18</f>
        <v>2.2300219722430192</v>
      </c>
      <c r="G20" s="129">
        <f>G19+G18</f>
        <v>2.1337483257924759</v>
      </c>
      <c r="H20" s="129">
        <f>H19+H18</f>
        <v>3.3225235366556944</v>
      </c>
      <c r="I20" s="129">
        <f t="shared" ref="I20:J20" si="27">I19+I18</f>
        <v>2.874827577493015</v>
      </c>
      <c r="J20" s="129">
        <f t="shared" si="27"/>
        <v>2.3983499118422875</v>
      </c>
      <c r="K20" s="3"/>
      <c r="O20" s="129">
        <f t="shared" ref="O20" si="28">O19+O18</f>
        <v>3.7532356941288443</v>
      </c>
      <c r="P20" s="129">
        <f t="shared" ref="P20" si="29">P19+P18</f>
        <v>3.9644624648320521</v>
      </c>
      <c r="Q20" s="129">
        <f t="shared" ref="Q20" si="30">Q19+Q18</f>
        <v>3.6746860209506509</v>
      </c>
      <c r="R20" s="129">
        <f t="shared" ref="R20" si="31">R19+R18</f>
        <v>3.9892862430346359</v>
      </c>
    </row>
    <row r="21" spans="1:18" x14ac:dyDescent="0.25">
      <c r="A21" s="131" t="str">
        <f>packaging!A83</f>
        <v>chassis</v>
      </c>
      <c r="B21" s="131" t="str">
        <f>packaging!B83</f>
        <v>kg</v>
      </c>
      <c r="C21" s="61">
        <f>packaging!C83</f>
        <v>20</v>
      </c>
      <c r="D21" s="61">
        <f>packaging!D83</f>
        <v>20</v>
      </c>
      <c r="E21" s="61">
        <f>packaging!E83</f>
        <v>20</v>
      </c>
      <c r="F21" s="61">
        <f>packaging!F83</f>
        <v>20</v>
      </c>
      <c r="G21" s="61">
        <f>packaging!G83</f>
        <v>20</v>
      </c>
      <c r="H21" s="61">
        <f>packaging!H83</f>
        <v>20</v>
      </c>
      <c r="I21" s="61">
        <f>packaging!I83</f>
        <v>20</v>
      </c>
      <c r="J21" s="61">
        <f>packaging!J83</f>
        <v>20</v>
      </c>
      <c r="K21" s="3"/>
      <c r="O21" s="61">
        <f>packaging!O83</f>
        <v>20</v>
      </c>
      <c r="P21" s="61">
        <f>packaging!P83</f>
        <v>20</v>
      </c>
      <c r="Q21" s="61">
        <f>packaging!Q83</f>
        <v>20</v>
      </c>
      <c r="R21" s="61">
        <f>packaging!R83</f>
        <v>20</v>
      </c>
    </row>
    <row r="22" spans="1:18" ht="17.25" x14ac:dyDescent="0.25">
      <c r="A22" s="13" t="s">
        <v>265</v>
      </c>
      <c r="B22" s="13" t="s">
        <v>287</v>
      </c>
      <c r="C22" s="129">
        <f>R62</f>
        <v>0.53333333333333333</v>
      </c>
      <c r="D22" s="129">
        <f>$C22</f>
        <v>0.53333333333333333</v>
      </c>
      <c r="E22" s="129">
        <f>$C22</f>
        <v>0.53333333333333333</v>
      </c>
      <c r="F22" s="129">
        <f>$C22</f>
        <v>0.53333333333333333</v>
      </c>
      <c r="G22" s="129">
        <f>E22</f>
        <v>0.53333333333333333</v>
      </c>
      <c r="H22" s="129">
        <f>G22</f>
        <v>0.53333333333333333</v>
      </c>
      <c r="I22" s="129">
        <f t="shared" ref="I22:J22" si="32">H22</f>
        <v>0.53333333333333333</v>
      </c>
      <c r="J22" s="129">
        <f t="shared" si="32"/>
        <v>0.53333333333333333</v>
      </c>
      <c r="K22" s="3"/>
      <c r="O22" s="129">
        <f>G22</f>
        <v>0.53333333333333333</v>
      </c>
      <c r="P22" s="129">
        <f t="shared" ref="P22:R22" si="33">H22</f>
        <v>0.53333333333333333</v>
      </c>
      <c r="Q22" s="129">
        <f t="shared" si="33"/>
        <v>0.53333333333333333</v>
      </c>
      <c r="R22" s="129">
        <f t="shared" si="33"/>
        <v>0.53333333333333333</v>
      </c>
    </row>
    <row r="23" spans="1:18" ht="17.25" x14ac:dyDescent="0.25">
      <c r="A23" s="13" t="s">
        <v>266</v>
      </c>
      <c r="B23" s="13" t="s">
        <v>287</v>
      </c>
      <c r="C23" s="129">
        <f>C21*((packaging!$C$102+TRR-packaging!C86)/1000)^2</f>
        <v>8.4372187185770624</v>
      </c>
      <c r="D23" s="129">
        <f>D21*((packaging!D$102+TRR-packaging!D86)/1000)^2</f>
        <v>7.8081991690445154</v>
      </c>
      <c r="E23" s="129">
        <f>E21*((packaging!E$102+TRR-packaging!E86)/1000)^2</f>
        <v>14.431727833682226</v>
      </c>
      <c r="F23" s="129">
        <f>F21*((packaging!F$102+TRR-packaging!F86)/1000)^2</f>
        <v>13.106778990025379</v>
      </c>
      <c r="G23" s="129">
        <f>G21*((packaging!G$102+TRR-packaging!G86)/1000)^2</f>
        <v>11.087248184404263</v>
      </c>
      <c r="H23" s="129">
        <f>H21*((packaging!H$102+TRR-packaging!H86)/1000)^2</f>
        <v>19.358949164880023</v>
      </c>
      <c r="I23" s="129">
        <f>I21*((packaging!I$102+TRR-packaging!I86)/1000)^2</f>
        <v>17.392913499500292</v>
      </c>
      <c r="J23" s="129">
        <f>J21*((packaging!J$102+TRR-packaging!J86)/1000)^2</f>
        <v>14.624339027488544</v>
      </c>
      <c r="K23" s="3"/>
      <c r="O23" s="129">
        <f>O21*((packaging!O$102+TRR-packaging!O86)/1000)^2</f>
        <v>15.555078750930043</v>
      </c>
      <c r="P23" s="129">
        <f>P21*((packaging!P$102+TRR-packaging!P86)/1000)^2</f>
        <v>14.927052532256159</v>
      </c>
      <c r="Q23" s="129">
        <f>Q21*((packaging!Q$102+TRR-packaging!Q86)/1000)^2</f>
        <v>20.579717889674637</v>
      </c>
      <c r="R23" s="129">
        <f>R21*((packaging!R$102+TRR-packaging!R86)/1000)^2</f>
        <v>19.498106465796621</v>
      </c>
    </row>
    <row r="24" spans="1:18" ht="17.25" x14ac:dyDescent="0.25">
      <c r="A24" s="13" t="s">
        <v>267</v>
      </c>
      <c r="B24" s="13" t="s">
        <v>287</v>
      </c>
      <c r="C24" s="129">
        <f>C22+C23</f>
        <v>8.9705520519103956</v>
      </c>
      <c r="D24" s="129">
        <f>D23+D22</f>
        <v>8.3415325023778486</v>
      </c>
      <c r="E24" s="129">
        <f>E23+E22</f>
        <v>14.965061167015559</v>
      </c>
      <c r="F24" s="129">
        <f>F23+F22</f>
        <v>13.640112323358712</v>
      </c>
      <c r="G24" s="129">
        <f>G23+G22</f>
        <v>11.620581517737596</v>
      </c>
      <c r="H24" s="129">
        <f>H23+H22</f>
        <v>19.892282498213358</v>
      </c>
      <c r="I24" s="129">
        <f t="shared" ref="I24:J24" si="34">I23+I22</f>
        <v>17.926246832833627</v>
      </c>
      <c r="J24" s="129">
        <f t="shared" si="34"/>
        <v>15.157672360821877</v>
      </c>
      <c r="K24" s="3"/>
      <c r="O24" s="129">
        <f t="shared" ref="O24" si="35">O23+O22</f>
        <v>16.088412084263378</v>
      </c>
      <c r="P24" s="129">
        <f t="shared" ref="P24" si="36">P23+P22</f>
        <v>15.460385865589492</v>
      </c>
      <c r="Q24" s="129">
        <f t="shared" ref="Q24" si="37">Q23+Q22</f>
        <v>21.113051223007972</v>
      </c>
      <c r="R24" s="129">
        <f t="shared" ref="R24" si="38">R23+R22</f>
        <v>20.031439799129956</v>
      </c>
    </row>
    <row r="25" spans="1:18" x14ac:dyDescent="0.25">
      <c r="A25" s="131"/>
      <c r="B25" s="131"/>
      <c r="C25" s="61"/>
      <c r="D25" s="61"/>
      <c r="E25" s="61"/>
      <c r="F25" s="61"/>
      <c r="G25" s="61"/>
      <c r="H25" s="61"/>
      <c r="I25" s="61"/>
      <c r="J25" s="61"/>
      <c r="K25" s="3"/>
      <c r="O25" s="61"/>
      <c r="P25" s="61"/>
      <c r="Q25" s="61"/>
      <c r="R25" s="61"/>
    </row>
    <row r="26" spans="1:18" x14ac:dyDescent="0.25">
      <c r="A26" s="13"/>
      <c r="B26" s="13"/>
      <c r="C26" s="129"/>
      <c r="D26" s="21"/>
      <c r="E26" s="21"/>
      <c r="F26" s="21"/>
      <c r="G26" s="21"/>
      <c r="H26" s="21"/>
      <c r="I26" s="21"/>
      <c r="J26" s="21"/>
      <c r="K26" s="3"/>
      <c r="O26" s="21"/>
      <c r="P26" s="21"/>
      <c r="Q26" s="21"/>
      <c r="R26" s="21"/>
    </row>
    <row r="27" spans="1:18" x14ac:dyDescent="0.25">
      <c r="A27" s="13"/>
      <c r="B27" s="13"/>
      <c r="C27" s="129"/>
      <c r="D27" s="21"/>
      <c r="E27" s="21"/>
      <c r="F27" s="21"/>
      <c r="G27" s="21"/>
      <c r="H27" s="21"/>
      <c r="I27" s="21"/>
      <c r="J27" s="21"/>
      <c r="K27" s="3"/>
      <c r="O27" s="21"/>
      <c r="P27" s="21"/>
      <c r="Q27" s="21"/>
      <c r="R27" s="21"/>
    </row>
    <row r="28" spans="1:18" x14ac:dyDescent="0.25">
      <c r="A28" s="13"/>
      <c r="B28" s="13"/>
      <c r="C28" s="129"/>
      <c r="D28" s="21"/>
      <c r="E28" s="21"/>
      <c r="F28" s="21"/>
      <c r="G28" s="21"/>
      <c r="H28" s="21"/>
      <c r="I28" s="21"/>
      <c r="J28" s="21"/>
      <c r="K28" s="3"/>
      <c r="O28" s="21"/>
      <c r="P28" s="21"/>
      <c r="Q28" s="21"/>
      <c r="R28" s="21"/>
    </row>
    <row r="29" spans="1:18" x14ac:dyDescent="0.25">
      <c r="A29" s="131" t="str">
        <f>packaging!A91</f>
        <v>Battery</v>
      </c>
      <c r="B29" s="131" t="str">
        <f>packaging!B91</f>
        <v>kg</v>
      </c>
      <c r="C29" s="126">
        <f>packaging!C91</f>
        <v>20.123456790123459</v>
      </c>
      <c r="D29" s="126">
        <f>packaging!D91</f>
        <v>37.666666666666664</v>
      </c>
      <c r="E29" s="126">
        <f>packaging!E91</f>
        <v>33.052469135802468</v>
      </c>
      <c r="F29" s="126">
        <f>packaging!F91</f>
        <v>62.099444444444444</v>
      </c>
      <c r="G29" s="126">
        <f>packaging!G91</f>
        <v>115.7148148148148</v>
      </c>
      <c r="H29" s="126">
        <f>packaging!H91</f>
        <v>37.47530864197531</v>
      </c>
      <c r="I29" s="126">
        <f>packaging!I91</f>
        <v>75.677777777777763</v>
      </c>
      <c r="J29" s="126">
        <f>packaging!J91</f>
        <v>142.59259259259258</v>
      </c>
      <c r="K29" s="8"/>
      <c r="O29" s="126">
        <f>packaging!O91</f>
        <v>26.888888888888889</v>
      </c>
      <c r="P29" s="126">
        <f>packaging!P91</f>
        <v>38.580246913580247</v>
      </c>
      <c r="Q29" s="126">
        <f>packaging!Q91</f>
        <v>33.666666666666664</v>
      </c>
      <c r="R29" s="126">
        <f>packaging!R91</f>
        <v>50.154320987654316</v>
      </c>
    </row>
    <row r="30" spans="1:18" ht="17.25" x14ac:dyDescent="0.25">
      <c r="A30" s="13" t="s">
        <v>265</v>
      </c>
      <c r="B30" s="13" t="s">
        <v>287</v>
      </c>
      <c r="C30" s="129">
        <f>R74</f>
        <v>0.16035879629629632</v>
      </c>
      <c r="D30" s="129">
        <f>$R76</f>
        <v>0.30986689814814811</v>
      </c>
      <c r="E30" s="129">
        <f>$R76</f>
        <v>0.30986689814814811</v>
      </c>
      <c r="F30" s="129">
        <f>$R76</f>
        <v>0.30986689814814811</v>
      </c>
      <c r="G30" s="129">
        <f>R78</f>
        <v>1.3560329861111111</v>
      </c>
      <c r="H30" s="129">
        <f>R80</f>
        <v>0.3513310185185185</v>
      </c>
      <c r="I30" s="129">
        <f>R81</f>
        <v>0.88684895833333321</v>
      </c>
      <c r="J30" s="129">
        <f>R82</f>
        <v>1.6710069444444444</v>
      </c>
      <c r="K30" s="3"/>
      <c r="O30" s="129">
        <f>R84</f>
        <v>0.21427083333333333</v>
      </c>
      <c r="P30" s="129">
        <f>R85</f>
        <v>0.36168981481481483</v>
      </c>
      <c r="Q30" s="129">
        <f>R86</f>
        <v>0.31562499999999999</v>
      </c>
      <c r="R30" s="129">
        <f>R87</f>
        <v>0.47019675925925919</v>
      </c>
    </row>
    <row r="31" spans="1:18" ht="17.25" x14ac:dyDescent="0.25">
      <c r="A31" s="13" t="s">
        <v>266</v>
      </c>
      <c r="B31" s="13" t="s">
        <v>287</v>
      </c>
      <c r="C31" s="129">
        <f>C29*((packaging!$C$102+TRR-packaging!C94)/1000)^2</f>
        <v>9.6366281210735991</v>
      </c>
      <c r="D31" s="129">
        <f>D29*((packaging!D$102+TRR-packaging!D94)/1000)^2</f>
        <v>14.94173529359356</v>
      </c>
      <c r="E31" s="129">
        <f>E29*((packaging!E$102+TRR-packaging!E94)/1000)^2</f>
        <v>24.131806553673304</v>
      </c>
      <c r="F31" s="129">
        <f>F29*((packaging!F$102+TRR-packaging!F94)/1000)^2</f>
        <v>37.494138292442209</v>
      </c>
      <c r="G31" s="129">
        <f>G29*((packaging!G$102+TRR-packaging!G94)/1000)^2</f>
        <v>58.670023120679502</v>
      </c>
      <c r="H31" s="129">
        <f>H29*((packaging!H$102+TRR-packaging!H94)/1000)^2</f>
        <v>36.64376490843685</v>
      </c>
      <c r="I31" s="129">
        <f>I29*((packaging!I$102+TRR-packaging!I94)/1000)^2</f>
        <v>61.305531625418411</v>
      </c>
      <c r="J31" s="129">
        <f>J29*((packaging!J$102+TRR-packaging!J94)/1000)^2</f>
        <v>96.491110592808539</v>
      </c>
      <c r="K31" s="3"/>
      <c r="O31" s="129">
        <f>O29*((packaging!O$102+TRR-packaging!O94)/1000)^2</f>
        <v>22.977146908886166</v>
      </c>
      <c r="P31" s="129">
        <f>P29*((packaging!P$102+TRR-packaging!P94)/1000)^2</f>
        <v>29.128734446985479</v>
      </c>
      <c r="Q31" s="129">
        <f>Q29*((packaging!Q$102+TRR-packaging!Q94)/1000)^2</f>
        <v>34.984877885532256</v>
      </c>
      <c r="R31" s="129">
        <f>R29*((packaging!R$102+TRR-packaging!R94)/1000)^2</f>
        <v>49.392178568712588</v>
      </c>
    </row>
    <row r="32" spans="1:18" ht="17.25" x14ac:dyDescent="0.25">
      <c r="A32" s="13" t="s">
        <v>267</v>
      </c>
      <c r="B32" s="13" t="s">
        <v>287</v>
      </c>
      <c r="C32" s="129">
        <f>C30+C31</f>
        <v>9.796986917369896</v>
      </c>
      <c r="D32" s="129">
        <f>D31+D30</f>
        <v>15.251602191741707</v>
      </c>
      <c r="E32" s="129">
        <f>E31+E30</f>
        <v>24.441673451821451</v>
      </c>
      <c r="F32" s="129">
        <f>F31+F30</f>
        <v>37.80400519059036</v>
      </c>
      <c r="G32" s="129">
        <f>G31+G30</f>
        <v>60.026056106790612</v>
      </c>
      <c r="H32" s="129">
        <f>H31+H30</f>
        <v>36.995095926955372</v>
      </c>
      <c r="I32" s="129">
        <f t="shared" ref="I32:J32" si="39">I31+I30</f>
        <v>62.192380583751742</v>
      </c>
      <c r="J32" s="129">
        <f t="shared" si="39"/>
        <v>98.162117537252982</v>
      </c>
      <c r="K32" s="3"/>
      <c r="O32" s="129">
        <f t="shared" ref="O32" si="40">O31+O30</f>
        <v>23.1914177422195</v>
      </c>
      <c r="P32" s="129">
        <f t="shared" ref="P32" si="41">P31+P30</f>
        <v>29.490424261800293</v>
      </c>
      <c r="Q32" s="129">
        <f t="shared" ref="Q32" si="42">Q31+Q30</f>
        <v>35.300502885532254</v>
      </c>
      <c r="R32" s="129">
        <f t="shared" ref="R32" si="43">R31+R30</f>
        <v>49.862375327971847</v>
      </c>
    </row>
    <row r="33" spans="1:22" x14ac:dyDescent="0.25">
      <c r="A33" s="131" t="str">
        <f>packaging!A95</f>
        <v>Cargo</v>
      </c>
      <c r="B33" s="131" t="str">
        <f>packaging!B95</f>
        <v>kg</v>
      </c>
      <c r="C33" s="61">
        <f>packaging!C95</f>
        <v>100</v>
      </c>
      <c r="D33" s="61">
        <f>packaging!D95</f>
        <v>100</v>
      </c>
      <c r="E33" s="61">
        <f>packaging!E95</f>
        <v>200</v>
      </c>
      <c r="F33" s="61">
        <f>packaging!F95</f>
        <v>200</v>
      </c>
      <c r="G33" s="61">
        <f>packaging!G95</f>
        <v>200</v>
      </c>
      <c r="H33" s="61">
        <f>packaging!H95</f>
        <v>300</v>
      </c>
      <c r="I33" s="61">
        <f>packaging!I95</f>
        <v>300</v>
      </c>
      <c r="J33" s="61">
        <f>packaging!J95</f>
        <v>300</v>
      </c>
      <c r="K33" s="3"/>
      <c r="O33" s="61">
        <f>packaging!O95</f>
        <v>200</v>
      </c>
      <c r="P33" s="61">
        <f>packaging!P95</f>
        <v>200</v>
      </c>
      <c r="Q33" s="61">
        <f>packaging!Q95</f>
        <v>300</v>
      </c>
      <c r="R33" s="61">
        <f>packaging!R95</f>
        <v>300</v>
      </c>
    </row>
    <row r="34" spans="1:22" ht="17.25" x14ac:dyDescent="0.25">
      <c r="A34" s="13" t="s">
        <v>265</v>
      </c>
      <c r="B34" s="13" t="s">
        <v>287</v>
      </c>
      <c r="C34" s="129">
        <f>R65</f>
        <v>9.4166666666666661</v>
      </c>
      <c r="D34" s="129">
        <f>C34</f>
        <v>9.4166666666666661</v>
      </c>
      <c r="E34" s="129">
        <f>C34*E33/C33</f>
        <v>18.833333333333332</v>
      </c>
      <c r="F34" s="129">
        <f>E34</f>
        <v>18.833333333333332</v>
      </c>
      <c r="G34" s="129">
        <f>E34*G33/E33</f>
        <v>18.833333333333332</v>
      </c>
      <c r="H34" s="129">
        <f>G34*H33/G33</f>
        <v>28.25</v>
      </c>
      <c r="I34" s="129">
        <f t="shared" ref="I34:J34" si="44">H34*I33/H33</f>
        <v>28.25</v>
      </c>
      <c r="J34" s="129">
        <f t="shared" si="44"/>
        <v>28.25</v>
      </c>
      <c r="K34" s="3"/>
      <c r="O34" s="129">
        <f>G34</f>
        <v>18.833333333333332</v>
      </c>
      <c r="P34" s="129">
        <f t="shared" ref="P34:R34" si="45">H34</f>
        <v>28.25</v>
      </c>
      <c r="Q34" s="129">
        <f t="shared" si="45"/>
        <v>28.25</v>
      </c>
      <c r="R34" s="129">
        <f t="shared" si="45"/>
        <v>28.25</v>
      </c>
    </row>
    <row r="35" spans="1:22" ht="17.25" x14ac:dyDescent="0.25">
      <c r="A35" s="13" t="s">
        <v>266</v>
      </c>
      <c r="B35" s="13" t="s">
        <v>287</v>
      </c>
      <c r="C35" s="129">
        <f>C33*((packaging!$C$102+TRR-packaging!C98)/1000)^2</f>
        <v>3.654154935358902</v>
      </c>
      <c r="D35" s="129">
        <f>D33*((packaging!$C$102+TRR-packaging!D98)/1000)^2</f>
        <v>3.654154935358902</v>
      </c>
      <c r="E35" s="129">
        <f>E33*((packaging!E$102+TRR-packaging!E98)/1000)^2</f>
        <v>4.0065776872843157</v>
      </c>
      <c r="F35" s="129">
        <f>F33*((packaging!F$102+TRR-packaging!F98)/1000)^2</f>
        <v>6.5862664143665999</v>
      </c>
      <c r="G35" s="129">
        <f>G33*((packaging!G$102+TRR-packaging!G98)/1000)^2</f>
        <v>12.147010314074864</v>
      </c>
      <c r="H35" s="129">
        <f>H33*((packaging!H$102+TRR-packaging!H98)/1000)^2</f>
        <v>2.4746701844937782</v>
      </c>
      <c r="I35" s="129">
        <f>I33*((packaging!I$102+TRR-packaging!I98)/1000)^2</f>
        <v>6.0593190743638754</v>
      </c>
      <c r="J35" s="129">
        <f>J33*((packaging!J$102+TRR-packaging!J98)/1000)^2</f>
        <v>14.461243235457463</v>
      </c>
      <c r="K35" s="3"/>
      <c r="O35" s="129">
        <f>O33*((packaging!O$102+TRR-packaging!O98)/1000)^2</f>
        <v>2.3804054465201383</v>
      </c>
      <c r="P35" s="129">
        <f>P33*((packaging!P$102+TRR-packaging!P98)/1000)^2</f>
        <v>3.2300164914375209</v>
      </c>
      <c r="Q35" s="129">
        <f>Q33*((packaging!Q$102+TRR-packaging!Q98)/1000)^2</f>
        <v>1.0900039561897377</v>
      </c>
      <c r="R35" s="129">
        <f>R33*((packaging!R$102+TRR-packaging!R98)/1000)^2</f>
        <v>2.2860583974834827</v>
      </c>
      <c r="S35" s="7"/>
    </row>
    <row r="36" spans="1:22" ht="17.25" x14ac:dyDescent="0.25">
      <c r="A36" s="13" t="s">
        <v>267</v>
      </c>
      <c r="B36" s="13" t="s">
        <v>287</v>
      </c>
      <c r="C36" s="129">
        <f>C34+C35</f>
        <v>13.070821602025568</v>
      </c>
      <c r="D36" s="129">
        <f>D34+D35</f>
        <v>13.070821602025568</v>
      </c>
      <c r="E36" s="129">
        <f>E35+E34</f>
        <v>22.839911020617649</v>
      </c>
      <c r="F36" s="129">
        <f>F35+F34</f>
        <v>25.419599747699934</v>
      </c>
      <c r="G36" s="129">
        <f>G35+G34</f>
        <v>30.980343647408198</v>
      </c>
      <c r="H36" s="129">
        <f>H35+H34</f>
        <v>30.724670184493778</v>
      </c>
      <c r="I36" s="129">
        <f t="shared" ref="I36:J36" si="46">I35+I34</f>
        <v>34.309319074363877</v>
      </c>
      <c r="J36" s="129">
        <f t="shared" si="46"/>
        <v>42.711243235457459</v>
      </c>
      <c r="K36" s="3"/>
      <c r="O36" s="129">
        <f t="shared" ref="O36" si="47">O35+O34</f>
        <v>21.213738779853472</v>
      </c>
      <c r="P36" s="129">
        <f t="shared" ref="P36" si="48">P35+P34</f>
        <v>31.480016491437521</v>
      </c>
      <c r="Q36" s="129">
        <f t="shared" ref="Q36" si="49">Q35+Q34</f>
        <v>29.340003956189737</v>
      </c>
      <c r="R36" s="129">
        <f t="shared" ref="R36" si="50">R35+R34</f>
        <v>30.536058397483483</v>
      </c>
    </row>
    <row r="37" spans="1:22" s="1" customFormat="1" ht="17.25" x14ac:dyDescent="0.25">
      <c r="A37" s="133" t="s">
        <v>268</v>
      </c>
      <c r="B37" s="133" t="s">
        <v>287</v>
      </c>
      <c r="C37" s="135">
        <f>C36+C32+C24+C20+C16+C12+C8</f>
        <v>70.030787031894107</v>
      </c>
      <c r="D37" s="135">
        <f t="shared" ref="D37:F37" si="51">D36+D32+D28+D24+D20+D16+D12+D8</f>
        <v>72.350997948115577</v>
      </c>
      <c r="E37" s="135">
        <f t="shared" si="51"/>
        <v>124.9598803186563</v>
      </c>
      <c r="F37" s="135">
        <f t="shared" si="51"/>
        <v>134.06711848545524</v>
      </c>
      <c r="G37" s="135">
        <f>G36+G32+G28+G24+G20+G16+G12+G8</f>
        <v>151.54682778804388</v>
      </c>
      <c r="H37" s="135">
        <f>H36+H32+H28+H24+H20+H16+H12+H8</f>
        <v>171.20947815356834</v>
      </c>
      <c r="I37" s="135">
        <f t="shared" ref="I37:J37" si="52">I36+I32+I28+I24+I20+I16+I12+I8</f>
        <v>189.62736137679357</v>
      </c>
      <c r="J37" s="135">
        <f t="shared" si="52"/>
        <v>219.54958048477735</v>
      </c>
      <c r="K37" s="144"/>
      <c r="O37" s="135">
        <f t="shared" ref="O37:R37" si="53">O36+O32+O28+O24+O20+O16+O12+O8</f>
        <v>129.13497008911119</v>
      </c>
      <c r="P37" s="135">
        <f t="shared" si="53"/>
        <v>142.74113257321733</v>
      </c>
      <c r="Q37" s="135">
        <f t="shared" si="53"/>
        <v>174.63754262723381</v>
      </c>
      <c r="R37" s="135">
        <f t="shared" si="53"/>
        <v>185.2566249285756</v>
      </c>
      <c r="S37"/>
    </row>
    <row r="39" spans="1:22" ht="18.75" x14ac:dyDescent="0.3">
      <c r="A39" s="170" t="s">
        <v>392</v>
      </c>
    </row>
    <row r="40" spans="1:22" s="1" customFormat="1" ht="18.75" x14ac:dyDescent="0.35">
      <c r="A40" s="142" t="s">
        <v>298</v>
      </c>
      <c r="B40" s="66"/>
      <c r="C40" s="143">
        <f>C37+packaging!C99*((packaging!C102+TRR)/1000)^2</f>
        <v>174.4727488074027</v>
      </c>
      <c r="D40" s="143">
        <f>D37+packaging!D99*((packaging!D102+TRR)/1000)^2</f>
        <v>176.19234390930572</v>
      </c>
      <c r="E40" s="143">
        <f>E37+packaging!E99*((packaging!E102+TRR)/1000)^2</f>
        <v>385.75113889382243</v>
      </c>
      <c r="F40" s="143">
        <f>F37+packaging!F99*((packaging!F102+TRR)/1000)^2</f>
        <v>390.69639682936258</v>
      </c>
      <c r="G40" s="143">
        <f>G37+packaging!G99*((packaging!G102+TRR)/1000)^2</f>
        <v>399.62258815061261</v>
      </c>
      <c r="H40" s="143">
        <f>H37+packaging!H99*((packaging!H102+TRR)/1000)^2</f>
        <v>623.06896739999524</v>
      </c>
      <c r="I40" s="143">
        <f>I37+packaging!I99*((packaging!I102+TRR)/1000)^2</f>
        <v>629.98583066913102</v>
      </c>
      <c r="J40" s="143">
        <f>J37+packaging!J99*((packaging!J102+TRR)/1000)^2</f>
        <v>640.60467646172367</v>
      </c>
      <c r="O40" s="143">
        <f>O37+packaging!O99*((packaging!O102+TRR)/1000)^2</f>
        <v>405.08230931357559</v>
      </c>
      <c r="P40" s="143">
        <f>P37+packaging!P99*((packaging!P102+TRR)/1000)^2</f>
        <v>416.59997133826687</v>
      </c>
      <c r="Q40" s="143">
        <f>Q37+packaging!Q99*((packaging!Q102+TRR)/1000)^2</f>
        <v>650.70340342468671</v>
      </c>
      <c r="R40" s="143">
        <f>R37+packaging!R99*((packaging!R102+TRR)/1000)^2</f>
        <v>652.94394374567423</v>
      </c>
      <c r="S40" s="139"/>
    </row>
    <row r="41" spans="1:22" x14ac:dyDescent="0.25">
      <c r="C41" s="134" t="str">
        <f>packaging!C66</f>
        <v>V1</v>
      </c>
      <c r="D41" s="134" t="str">
        <f>packaging!D66</f>
        <v>V1</v>
      </c>
      <c r="E41" s="134" t="str">
        <f>packaging!E66</f>
        <v>V2</v>
      </c>
      <c r="F41" s="134" t="str">
        <f>packaging!F66</f>
        <v>V2</v>
      </c>
      <c r="G41" s="134" t="str">
        <f>packaging!G66</f>
        <v>V2</v>
      </c>
      <c r="H41" s="134" t="str">
        <f>packaging!H66</f>
        <v>V3</v>
      </c>
      <c r="I41" s="134" t="str">
        <f>packaging!I66</f>
        <v>V3</v>
      </c>
      <c r="J41" s="134" t="str">
        <f>packaging!J66</f>
        <v>V3</v>
      </c>
      <c r="O41" s="134" t="str">
        <f>packaging!O66</f>
        <v>V2</v>
      </c>
      <c r="P41" s="134" t="str">
        <f>packaging!P66</f>
        <v>V2</v>
      </c>
      <c r="Q41" s="134" t="str">
        <f>packaging!Q66</f>
        <v>V3</v>
      </c>
      <c r="R41" s="134" t="str">
        <f>packaging!R66</f>
        <v>V3</v>
      </c>
    </row>
    <row r="42" spans="1:22" x14ac:dyDescent="0.25">
      <c r="C42" s="3" t="s">
        <v>299</v>
      </c>
      <c r="D42" s="3" t="s">
        <v>302</v>
      </c>
      <c r="E42" s="3" t="s">
        <v>299</v>
      </c>
      <c r="F42" s="3" t="s">
        <v>302</v>
      </c>
      <c r="G42" s="3" t="s">
        <v>300</v>
      </c>
      <c r="H42" s="3" t="s">
        <v>299</v>
      </c>
      <c r="I42" s="3" t="s">
        <v>302</v>
      </c>
      <c r="J42" s="3" t="s">
        <v>300</v>
      </c>
      <c r="O42" s="3" t="s">
        <v>302</v>
      </c>
      <c r="P42" s="3" t="s">
        <v>300</v>
      </c>
      <c r="Q42" s="3" t="s">
        <v>302</v>
      </c>
      <c r="R42" s="3" t="s">
        <v>300</v>
      </c>
    </row>
    <row r="45" spans="1:22" x14ac:dyDescent="0.25">
      <c r="A45" s="1" t="s">
        <v>391</v>
      </c>
      <c r="B45" s="1"/>
      <c r="C45" s="1"/>
      <c r="D45" s="1"/>
      <c r="E45" s="1"/>
      <c r="F45" s="1"/>
      <c r="G45" s="1"/>
      <c r="H45" s="1"/>
    </row>
    <row r="46" spans="1:22" x14ac:dyDescent="0.25">
      <c r="A46" t="s">
        <v>284</v>
      </c>
      <c r="C46"/>
      <c r="F46" t="s">
        <v>306</v>
      </c>
      <c r="I46" t="s">
        <v>316</v>
      </c>
      <c r="P46" t="s">
        <v>269</v>
      </c>
    </row>
    <row r="47" spans="1:22" x14ac:dyDescent="0.25">
      <c r="A47" s="3" t="s">
        <v>292</v>
      </c>
      <c r="B47" s="3" t="s">
        <v>13</v>
      </c>
      <c r="C47" s="12">
        <f>stability!L12</f>
        <v>662.37623762376234</v>
      </c>
      <c r="F47" s="12">
        <f>stability!T56</f>
        <v>549.72222222222217</v>
      </c>
      <c r="I47" t="s">
        <v>15</v>
      </c>
      <c r="J47">
        <v>0.8</v>
      </c>
      <c r="P47" t="s">
        <v>270</v>
      </c>
      <c r="R47" s="3" t="s">
        <v>271</v>
      </c>
      <c r="S47" s="3" t="s">
        <v>272</v>
      </c>
      <c r="T47" s="3" t="s">
        <v>277</v>
      </c>
      <c r="U47" s="3" t="s">
        <v>276</v>
      </c>
      <c r="V47" s="3" t="s">
        <v>15</v>
      </c>
    </row>
    <row r="48" spans="1:22" x14ac:dyDescent="0.25">
      <c r="A48" t="s">
        <v>285</v>
      </c>
      <c r="B48" s="3" t="s">
        <v>10</v>
      </c>
      <c r="C48">
        <f>stability!O53</f>
        <v>153</v>
      </c>
      <c r="F48">
        <f>stability!S56</f>
        <v>540</v>
      </c>
      <c r="I48" t="s">
        <v>315</v>
      </c>
      <c r="J48">
        <v>0.7</v>
      </c>
      <c r="P48" t="s">
        <v>274</v>
      </c>
      <c r="R48" s="3">
        <v>4.3</v>
      </c>
      <c r="S48" s="3">
        <v>6.3</v>
      </c>
      <c r="T48" s="3">
        <f>S48+R48</f>
        <v>10.6</v>
      </c>
      <c r="U48" s="3">
        <v>560</v>
      </c>
      <c r="V48" s="3">
        <v>140</v>
      </c>
    </row>
    <row r="49" spans="1:22" x14ac:dyDescent="0.25">
      <c r="C49"/>
      <c r="R49" s="3" t="s">
        <v>278</v>
      </c>
      <c r="S49" s="3" t="s">
        <v>279</v>
      </c>
      <c r="T49" s="3" t="s">
        <v>277</v>
      </c>
      <c r="U49" s="3"/>
      <c r="V49" s="3"/>
    </row>
    <row r="50" spans="1:22" x14ac:dyDescent="0.25">
      <c r="C50"/>
      <c r="R50" s="128">
        <f>R48*((U48/2)^2+(U48/2-V48*0.7)^2+V48^2/3)/4000000</f>
        <v>0.12691163333333333</v>
      </c>
      <c r="S50" s="128">
        <f>S48*((17*12.7)^2+V48^2)/12000000</f>
        <v>3.476172525E-2</v>
      </c>
      <c r="T50" s="128">
        <f>R50+S50</f>
        <v>0.16167335858333332</v>
      </c>
      <c r="U50" s="3"/>
      <c r="V50" s="3"/>
    </row>
    <row r="51" spans="1:22" x14ac:dyDescent="0.25">
      <c r="A51" s="131" t="str">
        <f>A5</f>
        <v>Front end</v>
      </c>
      <c r="B51" s="131" t="str">
        <f>B5</f>
        <v>kg</v>
      </c>
      <c r="C51" s="61">
        <f>C5</f>
        <v>40</v>
      </c>
      <c r="F51" s="131" t="s">
        <v>314</v>
      </c>
      <c r="G51" s="131">
        <f>F5</f>
        <v>40</v>
      </c>
      <c r="H51" s="61">
        <f>G5</f>
        <v>40</v>
      </c>
      <c r="R51" s="3"/>
      <c r="S51" s="3"/>
      <c r="T51" s="3"/>
      <c r="U51" s="3"/>
      <c r="V51" s="3"/>
    </row>
    <row r="52" spans="1:22" ht="17.25" x14ac:dyDescent="0.25">
      <c r="A52" s="13" t="s">
        <v>265</v>
      </c>
      <c r="B52" s="13" t="s">
        <v>287</v>
      </c>
      <c r="C52" s="129">
        <f>C6</f>
        <v>0.44868005049999993</v>
      </c>
      <c r="F52" s="13" t="s">
        <v>265</v>
      </c>
      <c r="G52" s="13" t="s">
        <v>287</v>
      </c>
      <c r="H52" s="129">
        <f>stability!S53*('moment of inertia'!J47^2+'moment of inertia'!J48^2)</f>
        <v>440.70000000000005</v>
      </c>
      <c r="P52" t="s">
        <v>273</v>
      </c>
      <c r="R52" s="3" t="s">
        <v>271</v>
      </c>
      <c r="S52" s="3" t="s">
        <v>272</v>
      </c>
      <c r="T52" s="3" t="s">
        <v>277</v>
      </c>
      <c r="U52" s="3" t="s">
        <v>276</v>
      </c>
      <c r="V52" s="3" t="s">
        <v>15</v>
      </c>
    </row>
    <row r="53" spans="1:22" ht="17.25" x14ac:dyDescent="0.25">
      <c r="A53" s="13" t="s">
        <v>266</v>
      </c>
      <c r="B53" s="13" t="s">
        <v>287</v>
      </c>
      <c r="C53" s="129">
        <f>C51*(($C$47-TRR-packaging!TC70)/1000)^2</f>
        <v>6.835196553279089</v>
      </c>
      <c r="F53" s="13" t="s">
        <v>266</v>
      </c>
      <c r="G53" s="13" t="s">
        <v>287</v>
      </c>
      <c r="H53" s="129">
        <f>H51*(($C$47-TRR-packaging!TG70)/1000)^2</f>
        <v>6.835196553279089</v>
      </c>
      <c r="P53" t="s">
        <v>275</v>
      </c>
      <c r="R53" s="10">
        <f>U53^2/U48^2*R48</f>
        <v>5.1356479591836734</v>
      </c>
      <c r="S53" s="10">
        <f>17^2/14^2*S48</f>
        <v>9.2892857142857146</v>
      </c>
      <c r="T53" s="10">
        <f>S53+R53</f>
        <v>14.424933673469388</v>
      </c>
      <c r="U53" s="3">
        <v>612</v>
      </c>
      <c r="V53" s="3">
        <v>120</v>
      </c>
    </row>
    <row r="54" spans="1:22" ht="17.25" x14ac:dyDescent="0.25">
      <c r="A54" s="13" t="s">
        <v>267</v>
      </c>
      <c r="B54" s="13" t="s">
        <v>287</v>
      </c>
      <c r="C54" s="132">
        <f>C52+C53</f>
        <v>7.2838766037790892</v>
      </c>
      <c r="F54" s="13" t="s">
        <v>267</v>
      </c>
      <c r="G54" s="13" t="s">
        <v>287</v>
      </c>
      <c r="H54" s="132">
        <f>H52+H53</f>
        <v>447.53519655327915</v>
      </c>
      <c r="R54" s="3" t="s">
        <v>278</v>
      </c>
      <c r="S54" s="3" t="s">
        <v>279</v>
      </c>
      <c r="T54" s="3" t="s">
        <v>277</v>
      </c>
      <c r="U54" s="3"/>
      <c r="V54" s="3"/>
    </row>
    <row r="55" spans="1:22" x14ac:dyDescent="0.25">
      <c r="A55" s="131" t="str">
        <f>A9</f>
        <v>Rear end</v>
      </c>
      <c r="B55" s="131">
        <f>packaging!S77</f>
        <v>0</v>
      </c>
      <c r="C55" s="61">
        <f>C9</f>
        <v>30</v>
      </c>
      <c r="F55" s="131" t="s">
        <v>295</v>
      </c>
      <c r="G55" s="131">
        <f>packaging!W85</f>
        <v>0</v>
      </c>
      <c r="H55" s="61">
        <v>80</v>
      </c>
      <c r="R55" s="128">
        <f>R53*((U53/2)^2+(U53/2-V53*0.7)^2+V53^2/3)/4000000</f>
        <v>0.18965947913265307</v>
      </c>
      <c r="S55" s="128">
        <f>S53*((17*12.7)^2+V53^2)/12000000</f>
        <v>4.7230452026785712E-2</v>
      </c>
      <c r="T55" s="128">
        <f>R55+S55</f>
        <v>0.23688993115943879</v>
      </c>
      <c r="U55" s="3"/>
      <c r="V55" s="3"/>
    </row>
    <row r="56" spans="1:22" ht="17.25" x14ac:dyDescent="0.25">
      <c r="A56" s="13" t="s">
        <v>265</v>
      </c>
      <c r="B56" s="13" t="s">
        <v>287</v>
      </c>
      <c r="C56" s="129">
        <f>C10</f>
        <v>0.30178604085331634</v>
      </c>
      <c r="F56" s="13" t="s">
        <v>265</v>
      </c>
      <c r="G56" s="13" t="s">
        <v>287</v>
      </c>
      <c r="H56" s="129">
        <f>C64</f>
        <v>9.5</v>
      </c>
    </row>
    <row r="57" spans="1:22" ht="17.25" x14ac:dyDescent="0.25">
      <c r="A57" s="13" t="s">
        <v>266</v>
      </c>
      <c r="B57" s="13" t="s">
        <v>287</v>
      </c>
      <c r="C57" s="129">
        <f>C9*(($C$47-TRR-packaging!TC74)/1000)^2</f>
        <v>5.1263974149593166</v>
      </c>
      <c r="F57" s="13" t="s">
        <v>266</v>
      </c>
      <c r="G57" s="13" t="s">
        <v>287</v>
      </c>
      <c r="H57" s="129">
        <f>G17*(($F$47-TRR-stability!T56)/1000)^2</f>
        <v>1.2400199999999999</v>
      </c>
      <c r="R57" s="3" t="s">
        <v>282</v>
      </c>
      <c r="S57" s="3" t="s">
        <v>291</v>
      </c>
      <c r="T57" s="3" t="s">
        <v>104</v>
      </c>
      <c r="U57" s="3" t="s">
        <v>281</v>
      </c>
      <c r="V57" s="3" t="s">
        <v>105</v>
      </c>
    </row>
    <row r="58" spans="1:22" ht="17.25" x14ac:dyDescent="0.25">
      <c r="A58" s="13" t="s">
        <v>267</v>
      </c>
      <c r="B58" s="13" t="s">
        <v>287</v>
      </c>
      <c r="C58" s="132">
        <f>C56+C57</f>
        <v>5.4281834558126327</v>
      </c>
      <c r="F58" s="13" t="s">
        <v>267</v>
      </c>
      <c r="G58" s="13" t="s">
        <v>287</v>
      </c>
      <c r="H58" s="132">
        <f>H57+H56</f>
        <v>10.740019999999999</v>
      </c>
      <c r="P58" t="s">
        <v>280</v>
      </c>
      <c r="R58" s="128">
        <f>S58*(U58^2+V58^2)/12000000</f>
        <v>0.12533333333333332</v>
      </c>
      <c r="S58" s="3">
        <f>C5-T48*2</f>
        <v>18.8</v>
      </c>
      <c r="T58" s="3">
        <v>200</v>
      </c>
      <c r="U58" s="3">
        <v>200</v>
      </c>
      <c r="V58" s="3">
        <v>200</v>
      </c>
    </row>
    <row r="59" spans="1:22" x14ac:dyDescent="0.25">
      <c r="A59" s="131" t="s">
        <v>293</v>
      </c>
      <c r="B59" s="131">
        <f>packaging!S81</f>
        <v>0</v>
      </c>
      <c r="C59" s="22">
        <f>(stability!O53-'moment of inertia'!C51-'moment of inertia'!C55)</f>
        <v>83</v>
      </c>
      <c r="F59" s="131" t="s">
        <v>255</v>
      </c>
      <c r="G59" s="131">
        <f>packaging!W89</f>
        <v>0</v>
      </c>
      <c r="H59" s="61">
        <v>80</v>
      </c>
      <c r="P59" t="s">
        <v>283</v>
      </c>
      <c r="R59" s="128">
        <f t="shared" ref="R59:R67" si="54">S59*(U59^2+V59^2)/12000000</f>
        <v>6.489610969387756E-2</v>
      </c>
      <c r="S59" s="10">
        <f>C9-T53</f>
        <v>15.575066326530612</v>
      </c>
      <c r="T59" s="3">
        <v>400</v>
      </c>
      <c r="U59" s="3">
        <v>200</v>
      </c>
      <c r="V59" s="3">
        <v>100</v>
      </c>
    </row>
    <row r="60" spans="1:22" ht="17.25" x14ac:dyDescent="0.25">
      <c r="A60" s="13" t="s">
        <v>265</v>
      </c>
      <c r="B60" s="13" t="s">
        <v>287</v>
      </c>
      <c r="C60" s="132">
        <f>R67</f>
        <v>2.2133333333333334</v>
      </c>
      <c r="F60" s="13" t="s">
        <v>265</v>
      </c>
      <c r="G60" s="13" t="s">
        <v>287</v>
      </c>
      <c r="H60" s="129">
        <f>C68</f>
        <v>9.5</v>
      </c>
      <c r="P60" t="str">
        <f>A13</f>
        <v>power electronics</v>
      </c>
      <c r="R60" s="128">
        <f t="shared" si="54"/>
        <v>6.6666666666666666E-2</v>
      </c>
      <c r="S60" s="3">
        <f>C13</f>
        <v>10</v>
      </c>
      <c r="T60" s="3">
        <v>200</v>
      </c>
      <c r="U60" s="3">
        <v>200</v>
      </c>
      <c r="V60" s="3">
        <v>200</v>
      </c>
    </row>
    <row r="61" spans="1:22" ht="17.25" x14ac:dyDescent="0.25">
      <c r="A61" s="13" t="s">
        <v>266</v>
      </c>
      <c r="B61" s="13" t="s">
        <v>287</v>
      </c>
      <c r="C61" s="132">
        <f>C13*(($C$47-TRR-stability!Q53)/1000)^2</f>
        <v>1.7892373296735508E-3</v>
      </c>
      <c r="F61" s="13" t="s">
        <v>266</v>
      </c>
      <c r="G61" s="13" t="s">
        <v>287</v>
      </c>
      <c r="H61" s="129">
        <f>G21*(($F$47-TRR-stability!T56)/1000)^2</f>
        <v>1.2400199999999999</v>
      </c>
      <c r="P61" t="str">
        <f>A17</f>
        <v>cargo structure</v>
      </c>
      <c r="R61" s="128">
        <f t="shared" si="54"/>
        <v>2.1333333333333333</v>
      </c>
      <c r="S61" s="3">
        <f>C17</f>
        <v>20</v>
      </c>
      <c r="T61" s="3">
        <f>packaging!C50*1000</f>
        <v>1900</v>
      </c>
      <c r="U61" s="3">
        <v>800</v>
      </c>
      <c r="V61" s="3">
        <v>800</v>
      </c>
    </row>
    <row r="62" spans="1:22" ht="17.25" x14ac:dyDescent="0.25">
      <c r="A62" s="13" t="s">
        <v>267</v>
      </c>
      <c r="B62" s="13" t="s">
        <v>287</v>
      </c>
      <c r="C62" s="132">
        <f>C60+C61</f>
        <v>2.2151225706630071</v>
      </c>
      <c r="F62" s="13" t="s">
        <v>267</v>
      </c>
      <c r="G62" s="13" t="s">
        <v>287</v>
      </c>
      <c r="H62" s="132">
        <f>H61+H60</f>
        <v>10.740019999999999</v>
      </c>
      <c r="P62" t="str">
        <f>A21</f>
        <v>chassis</v>
      </c>
      <c r="R62" s="128">
        <f>S62*(U62^2+V62^2)/12000000</f>
        <v>0.53333333333333333</v>
      </c>
      <c r="S62" s="3">
        <f>C21</f>
        <v>20</v>
      </c>
      <c r="T62" s="3">
        <v>400</v>
      </c>
      <c r="U62" s="3">
        <v>400</v>
      </c>
      <c r="V62" s="3">
        <v>400</v>
      </c>
    </row>
    <row r="63" spans="1:22" x14ac:dyDescent="0.25">
      <c r="A63" s="131" t="s">
        <v>295</v>
      </c>
      <c r="B63" s="131">
        <f>packaging!S85</f>
        <v>0</v>
      </c>
      <c r="C63" s="61">
        <v>80</v>
      </c>
      <c r="F63" s="136" t="s">
        <v>268</v>
      </c>
      <c r="G63" s="137">
        <f>packaging!W93</f>
        <v>0</v>
      </c>
      <c r="H63" s="138">
        <f>H62+H58+H54</f>
        <v>469.01523655327912</v>
      </c>
      <c r="R63" s="128">
        <f t="shared" si="54"/>
        <v>0</v>
      </c>
      <c r="S63" s="3"/>
      <c r="T63" s="3"/>
      <c r="U63" s="3"/>
      <c r="V63" s="3"/>
    </row>
    <row r="64" spans="1:22" ht="17.25" x14ac:dyDescent="0.25">
      <c r="A64" s="13" t="s">
        <v>265</v>
      </c>
      <c r="B64" s="13" t="s">
        <v>287</v>
      </c>
      <c r="C64" s="129">
        <f>U68</f>
        <v>9.5</v>
      </c>
    </row>
    <row r="65" spans="1:22" ht="18.75" x14ac:dyDescent="0.35">
      <c r="A65" s="13" t="s">
        <v>266</v>
      </c>
      <c r="B65" s="13" t="s">
        <v>287</v>
      </c>
      <c r="C65" s="129">
        <f>C17*(($C$47-TRR-stability!Q54)/1000)^2</f>
        <v>4.3547547122831096</v>
      </c>
      <c r="F65" s="140" t="s">
        <v>298</v>
      </c>
      <c r="G65" s="1"/>
      <c r="H65" s="141">
        <f>H63+stability!S56*(stability!T56/1000)^2</f>
        <v>632.20027821994574</v>
      </c>
      <c r="P65" t="str">
        <f>A33</f>
        <v>Cargo</v>
      </c>
      <c r="Q65" t="s">
        <v>317</v>
      </c>
      <c r="R65" s="128">
        <f t="shared" si="54"/>
        <v>9.4166666666666661</v>
      </c>
      <c r="S65" s="3">
        <f>C33</f>
        <v>100</v>
      </c>
      <c r="T65" s="3">
        <f>T61</f>
        <v>1900</v>
      </c>
      <c r="U65" s="3">
        <v>700</v>
      </c>
      <c r="V65" s="3">
        <f>V61</f>
        <v>800</v>
      </c>
    </row>
    <row r="66" spans="1:22" ht="17.25" x14ac:dyDescent="0.25">
      <c r="A66" s="13" t="s">
        <v>267</v>
      </c>
      <c r="B66" s="13" t="s">
        <v>287</v>
      </c>
      <c r="C66" s="132">
        <f>C65+C64</f>
        <v>13.854754712283111</v>
      </c>
      <c r="R66" s="3"/>
      <c r="S66" s="3"/>
      <c r="T66" s="3"/>
      <c r="U66" s="3"/>
      <c r="V66" s="3"/>
    </row>
    <row r="67" spans="1:22" x14ac:dyDescent="0.25">
      <c r="A67" s="131" t="s">
        <v>255</v>
      </c>
      <c r="B67" s="131">
        <f>packaging!S89</f>
        <v>0</v>
      </c>
      <c r="C67" s="61">
        <v>80</v>
      </c>
      <c r="P67" t="s">
        <v>294</v>
      </c>
      <c r="R67" s="128">
        <f t="shared" si="54"/>
        <v>2.2133333333333334</v>
      </c>
      <c r="S67">
        <f>C59</f>
        <v>83</v>
      </c>
      <c r="U67">
        <v>400</v>
      </c>
      <c r="V67">
        <v>400</v>
      </c>
    </row>
    <row r="68" spans="1:22" ht="17.25" x14ac:dyDescent="0.25">
      <c r="A68" s="13" t="s">
        <v>265</v>
      </c>
      <c r="B68" s="13" t="s">
        <v>287</v>
      </c>
      <c r="C68" s="129">
        <f>U68</f>
        <v>9.5</v>
      </c>
      <c r="P68" t="s">
        <v>286</v>
      </c>
      <c r="U68">
        <v>9.5</v>
      </c>
      <c r="V68" t="s">
        <v>287</v>
      </c>
    </row>
    <row r="69" spans="1:22" ht="17.25" x14ac:dyDescent="0.25">
      <c r="A69" s="13" t="s">
        <v>266</v>
      </c>
      <c r="B69" s="13" t="s">
        <v>287</v>
      </c>
      <c r="C69" s="129">
        <f>C21*(($C$47-TRR-stability!Q55)/1000)^2</f>
        <v>6.4212497617880615</v>
      </c>
      <c r="P69" t="s">
        <v>288</v>
      </c>
      <c r="Q69" s="3">
        <v>250</v>
      </c>
      <c r="R69" t="s">
        <v>13</v>
      </c>
      <c r="S69" t="s">
        <v>289</v>
      </c>
    </row>
    <row r="70" spans="1:22" ht="17.25" x14ac:dyDescent="0.25">
      <c r="A70" s="13" t="s">
        <v>267</v>
      </c>
      <c r="B70" s="13" t="s">
        <v>287</v>
      </c>
      <c r="C70" s="132">
        <f>C69+C68</f>
        <v>15.921249761788062</v>
      </c>
      <c r="Q70" s="3">
        <v>110</v>
      </c>
      <c r="R70" t="s">
        <v>13</v>
      </c>
      <c r="S70" t="s">
        <v>290</v>
      </c>
    </row>
    <row r="71" spans="1:22" x14ac:dyDescent="0.25">
      <c r="A71" s="136" t="s">
        <v>268</v>
      </c>
      <c r="B71" s="137">
        <f>packaging!S93</f>
        <v>0</v>
      </c>
      <c r="C71" s="138">
        <f>C70+C66+C62+C58+C54</f>
        <v>44.703187104325906</v>
      </c>
    </row>
    <row r="72" spans="1:22" x14ac:dyDescent="0.25">
      <c r="C72"/>
    </row>
    <row r="73" spans="1:22" ht="18.75" x14ac:dyDescent="0.35">
      <c r="A73" s="140" t="s">
        <v>298</v>
      </c>
      <c r="B73" s="1"/>
      <c r="C73" s="141">
        <f>C71+stability!Q53*(stability!Q56/1000)^2</f>
        <v>220.20009917177023</v>
      </c>
    </row>
    <row r="74" spans="1:22" x14ac:dyDescent="0.25">
      <c r="C74"/>
      <c r="P74" t="str">
        <f>A29</f>
        <v>Battery</v>
      </c>
      <c r="Q74" t="s">
        <v>297</v>
      </c>
      <c r="R74" s="128">
        <f>S74*(U74^2+V74^2)/12000000</f>
        <v>0.16035879629629632</v>
      </c>
      <c r="S74" s="8">
        <f>C29</f>
        <v>20.123456790123459</v>
      </c>
      <c r="T74" s="3"/>
      <c r="U74" s="3">
        <f>packaging!C42</f>
        <v>300</v>
      </c>
      <c r="V74" s="3">
        <f>packaging!C43</f>
        <v>75</v>
      </c>
    </row>
    <row r="75" spans="1:22" x14ac:dyDescent="0.25">
      <c r="Q75" t="s">
        <v>309</v>
      </c>
      <c r="R75" s="128">
        <f>S75*(U75^2+V75^2)/12000000</f>
        <v>0.35312500000000002</v>
      </c>
      <c r="S75" s="8">
        <f>D29</f>
        <v>37.666666666666664</v>
      </c>
      <c r="T75" s="3"/>
      <c r="U75" s="3">
        <v>300</v>
      </c>
      <c r="V75" s="3">
        <f>packaging!D43</f>
        <v>150</v>
      </c>
    </row>
    <row r="76" spans="1:22" x14ac:dyDescent="0.25">
      <c r="Q76" t="s">
        <v>296</v>
      </c>
      <c r="R76" s="128">
        <f>S76*(U76^2+V76^2)/12000000</f>
        <v>0.30986689814814811</v>
      </c>
      <c r="S76" s="8">
        <f>E29</f>
        <v>33.052469135802468</v>
      </c>
      <c r="T76" s="3"/>
      <c r="U76" s="3">
        <v>300</v>
      </c>
      <c r="V76" s="3">
        <f>packaging!E43</f>
        <v>150</v>
      </c>
    </row>
    <row r="77" spans="1:22" x14ac:dyDescent="0.25">
      <c r="Q77" t="s">
        <v>307</v>
      </c>
      <c r="R77" s="128">
        <f>S77*(U77^2+V77^2)/12000000</f>
        <v>0.72772786458333338</v>
      </c>
      <c r="S77" s="8">
        <f>F29</f>
        <v>62.099444444444444</v>
      </c>
      <c r="T77" s="3"/>
      <c r="U77" s="3">
        <v>300</v>
      </c>
      <c r="V77" s="3">
        <f>packaging!F43</f>
        <v>225</v>
      </c>
    </row>
    <row r="78" spans="1:22" ht="15" customHeight="1" x14ac:dyDescent="0.25">
      <c r="Q78" t="s">
        <v>301</v>
      </c>
      <c r="R78" s="128">
        <f>S78*(U78^2+V78^2)/12000000</f>
        <v>1.3560329861111111</v>
      </c>
      <c r="S78" s="8">
        <f>G29</f>
        <v>115.7148148148148</v>
      </c>
      <c r="T78" s="3"/>
      <c r="U78" s="3">
        <v>300</v>
      </c>
      <c r="V78" s="3">
        <f>packaging!G43</f>
        <v>225</v>
      </c>
    </row>
    <row r="80" spans="1:22" x14ac:dyDescent="0.25">
      <c r="Q80" t="s">
        <v>303</v>
      </c>
      <c r="R80" s="128">
        <f>S80*(U80^2+V80^2)/12000000</f>
        <v>0.3513310185185185</v>
      </c>
      <c r="S80" s="8">
        <f>H29</f>
        <v>37.47530864197531</v>
      </c>
      <c r="T80" s="3"/>
      <c r="U80" s="3">
        <v>300</v>
      </c>
      <c r="V80" s="3">
        <f>packaging!H43</f>
        <v>150</v>
      </c>
    </row>
    <row r="81" spans="3:22" x14ac:dyDescent="0.25">
      <c r="Q81" t="s">
        <v>304</v>
      </c>
      <c r="R81" s="128">
        <f>S81*(U81^2+V81^2)/12000000</f>
        <v>0.88684895833333321</v>
      </c>
      <c r="S81" s="8">
        <f>I29</f>
        <v>75.677777777777763</v>
      </c>
      <c r="T81" s="3"/>
      <c r="U81" s="3">
        <v>300</v>
      </c>
      <c r="V81" s="3">
        <f>packaging!I43</f>
        <v>225</v>
      </c>
    </row>
    <row r="82" spans="3:22" x14ac:dyDescent="0.25">
      <c r="Q82" t="s">
        <v>305</v>
      </c>
      <c r="R82" s="128">
        <f>S82*(U82^2+V82^2)/12000000</f>
        <v>1.6710069444444444</v>
      </c>
      <c r="S82" s="8">
        <f>J29</f>
        <v>142.59259259259258</v>
      </c>
      <c r="T82" s="3"/>
      <c r="U82" s="3">
        <v>300</v>
      </c>
      <c r="V82" s="3">
        <f>packaging!J43</f>
        <v>225</v>
      </c>
    </row>
    <row r="84" spans="3:22" ht="30.75" x14ac:dyDescent="0.25">
      <c r="P84" s="145" t="s">
        <v>308</v>
      </c>
      <c r="Q84" t="s">
        <v>307</v>
      </c>
      <c r="R84" s="128">
        <f>S84*(U84^2+V84^2)/12000000</f>
        <v>0.21427083333333333</v>
      </c>
      <c r="S84" s="8">
        <f>O29</f>
        <v>26.888888888888889</v>
      </c>
      <c r="U84" s="3">
        <v>300</v>
      </c>
      <c r="V84" s="3">
        <f>packaging!O43</f>
        <v>75</v>
      </c>
    </row>
    <row r="85" spans="3:22" x14ac:dyDescent="0.25">
      <c r="P85" s="145"/>
      <c r="Q85" t="s">
        <v>301</v>
      </c>
      <c r="R85" s="128">
        <f t="shared" ref="R85:R87" si="55">S85*(U85^2+V85^2)/12000000</f>
        <v>0.36168981481481483</v>
      </c>
      <c r="S85" s="8">
        <f>P29</f>
        <v>38.580246913580247</v>
      </c>
      <c r="U85" s="3">
        <v>300</v>
      </c>
      <c r="V85" s="3">
        <f>packaging!P43</f>
        <v>150</v>
      </c>
    </row>
    <row r="86" spans="3:22" x14ac:dyDescent="0.25">
      <c r="P86" s="145"/>
      <c r="Q86" t="s">
        <v>304</v>
      </c>
      <c r="R86" s="128">
        <f t="shared" si="55"/>
        <v>0.31562499999999999</v>
      </c>
      <c r="S86" s="8">
        <f>Q29</f>
        <v>33.666666666666664</v>
      </c>
      <c r="U86" s="3">
        <v>300</v>
      </c>
      <c r="V86" s="3">
        <f>packaging!Q43</f>
        <v>150</v>
      </c>
    </row>
    <row r="87" spans="3:22" x14ac:dyDescent="0.25">
      <c r="P87" s="145"/>
      <c r="Q87" t="s">
        <v>305</v>
      </c>
      <c r="R87" s="128">
        <f t="shared" si="55"/>
        <v>0.47019675925925919</v>
      </c>
      <c r="S87" s="8">
        <f>R29</f>
        <v>50.154320987654316</v>
      </c>
      <c r="U87" s="3">
        <v>300</v>
      </c>
      <c r="V87" s="3">
        <f>packaging!R43</f>
        <v>150</v>
      </c>
    </row>
    <row r="89" spans="3:22" x14ac:dyDescent="0.25">
      <c r="C89"/>
    </row>
    <row r="90" spans="3:22" x14ac:dyDescent="0.25">
      <c r="C90"/>
    </row>
    <row r="91" spans="3:22" x14ac:dyDescent="0.25">
      <c r="C91"/>
    </row>
    <row r="92" spans="3:22" x14ac:dyDescent="0.25">
      <c r="C9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zoomScale="85" zoomScaleNormal="85" workbookViewId="0">
      <selection activeCell="A3" sqref="A3:XFD4"/>
    </sheetView>
  </sheetViews>
  <sheetFormatPr defaultRowHeight="15" x14ac:dyDescent="0.25"/>
  <cols>
    <col min="2" max="2" width="20" customWidth="1"/>
    <col min="3" max="3" width="19" customWidth="1"/>
    <col min="4" max="6" width="15.7109375" customWidth="1"/>
    <col min="7" max="7" width="18.7109375" customWidth="1"/>
    <col min="8" max="8" width="15.7109375" customWidth="1"/>
    <col min="9" max="11" width="16.7109375" customWidth="1"/>
    <col min="12" max="12" width="12.7109375" customWidth="1"/>
    <col min="13" max="14" width="15.28515625" customWidth="1"/>
    <col min="15" max="18" width="12.7109375" customWidth="1"/>
  </cols>
  <sheetData>
    <row r="1" spans="1:18" ht="15.75" x14ac:dyDescent="0.25">
      <c r="A1" s="6" t="s">
        <v>175</v>
      </c>
    </row>
    <row r="3" spans="1:18" x14ac:dyDescent="0.25">
      <c r="A3" t="s">
        <v>176</v>
      </c>
      <c r="G3" s="1"/>
      <c r="H3" s="1"/>
    </row>
    <row r="5" spans="1:18" ht="17.25" x14ac:dyDescent="0.25">
      <c r="B5" s="25" t="s">
        <v>177</v>
      </c>
      <c r="C5" s="25" t="s">
        <v>178</v>
      </c>
      <c r="D5" s="25" t="s">
        <v>31</v>
      </c>
      <c r="E5" s="51" t="s">
        <v>179</v>
      </c>
      <c r="F5" s="1"/>
      <c r="G5" s="57" t="s">
        <v>180</v>
      </c>
      <c r="H5" s="57" t="s">
        <v>366</v>
      </c>
      <c r="I5" s="57" t="s">
        <v>367</v>
      </c>
    </row>
    <row r="6" spans="1:18" x14ac:dyDescent="0.25">
      <c r="B6" s="13">
        <v>1</v>
      </c>
      <c r="C6" s="13" t="s">
        <v>327</v>
      </c>
      <c r="D6" s="13" t="s">
        <v>181</v>
      </c>
      <c r="E6" s="21">
        <v>100</v>
      </c>
      <c r="F6" s="23">
        <f>low_range/long_range</f>
        <v>0.4</v>
      </c>
      <c r="G6">
        <f>J12</f>
        <v>24.4</v>
      </c>
      <c r="H6" s="4">
        <f>low_range/G6</f>
        <v>4.0983606557377055</v>
      </c>
      <c r="I6" s="194">
        <f>H6/24</f>
        <v>0.17076502732240439</v>
      </c>
    </row>
    <row r="7" spans="1:18" x14ac:dyDescent="0.25">
      <c r="B7" s="13">
        <v>2</v>
      </c>
      <c r="C7" s="13" t="s">
        <v>182</v>
      </c>
      <c r="D7" s="13" t="s">
        <v>183</v>
      </c>
      <c r="E7" s="21">
        <v>180</v>
      </c>
      <c r="F7" s="23">
        <f>mid_range/long_range</f>
        <v>0.72</v>
      </c>
      <c r="G7">
        <f>(J13+J12)/2</f>
        <v>39.549999999999997</v>
      </c>
      <c r="H7" s="4">
        <f>mid_range/G7</f>
        <v>4.5512010113780033</v>
      </c>
      <c r="I7" s="194">
        <f t="shared" ref="I7:I10" si="0">H7/24</f>
        <v>0.18963337547408346</v>
      </c>
    </row>
    <row r="8" spans="1:18" ht="30" customHeight="1" x14ac:dyDescent="0.25">
      <c r="B8" s="13">
        <v>3</v>
      </c>
      <c r="C8" s="24" t="s">
        <v>184</v>
      </c>
      <c r="D8" s="13" t="s">
        <v>185</v>
      </c>
      <c r="E8" s="21">
        <v>250</v>
      </c>
      <c r="F8" s="23">
        <f>long_range/long_range</f>
        <v>1</v>
      </c>
      <c r="G8" s="4">
        <f>(J12+J13+J14)/3</f>
        <v>57.833333333333336</v>
      </c>
      <c r="H8" s="4">
        <f>long_range/G8</f>
        <v>4.3227665706051868</v>
      </c>
      <c r="I8" s="194">
        <f t="shared" si="0"/>
        <v>0.18011527377521611</v>
      </c>
    </row>
    <row r="9" spans="1:18" x14ac:dyDescent="0.25">
      <c r="B9" s="13">
        <v>4</v>
      </c>
      <c r="C9" s="13" t="s">
        <v>364</v>
      </c>
      <c r="D9" s="13"/>
      <c r="E9" s="21">
        <v>180</v>
      </c>
      <c r="G9">
        <v>27.7</v>
      </c>
      <c r="H9" s="4">
        <f>mid_range/G9</f>
        <v>6.4981949458483754</v>
      </c>
      <c r="I9" s="194">
        <f t="shared" si="0"/>
        <v>0.27075812274368233</v>
      </c>
    </row>
    <row r="10" spans="1:18" x14ac:dyDescent="0.25">
      <c r="B10" s="13">
        <v>5</v>
      </c>
      <c r="C10" s="13" t="s">
        <v>365</v>
      </c>
      <c r="D10" s="13"/>
      <c r="E10" s="21">
        <v>250</v>
      </c>
      <c r="G10">
        <v>36.6</v>
      </c>
      <c r="H10" s="4">
        <f>long_range/G10</f>
        <v>6.8306010928961749</v>
      </c>
      <c r="I10" s="194">
        <f t="shared" si="0"/>
        <v>0.28460837887067397</v>
      </c>
    </row>
    <row r="11" spans="1:18" x14ac:dyDescent="0.25">
      <c r="J11" t="s">
        <v>186</v>
      </c>
      <c r="K11" t="s">
        <v>187</v>
      </c>
    </row>
    <row r="12" spans="1:18" x14ac:dyDescent="0.25">
      <c r="I12" t="s">
        <v>188</v>
      </c>
      <c r="J12">
        <v>24.4</v>
      </c>
      <c r="K12">
        <v>4065.26</v>
      </c>
    </row>
    <row r="13" spans="1:18" x14ac:dyDescent="0.25">
      <c r="I13" t="s">
        <v>189</v>
      </c>
      <c r="J13">
        <v>54.7</v>
      </c>
      <c r="K13">
        <v>9111.39</v>
      </c>
    </row>
    <row r="14" spans="1:18" x14ac:dyDescent="0.25">
      <c r="I14" t="s">
        <v>190</v>
      </c>
      <c r="J14">
        <v>94.4</v>
      </c>
      <c r="K14">
        <v>15736.27</v>
      </c>
    </row>
    <row r="15" spans="1:18" x14ac:dyDescent="0.25">
      <c r="A15" t="s">
        <v>191</v>
      </c>
    </row>
    <row r="16" spans="1:18" x14ac:dyDescent="0.25">
      <c r="O16" s="282" t="s">
        <v>0</v>
      </c>
      <c r="P16" s="282"/>
      <c r="Q16" s="282"/>
      <c r="R16" s="282"/>
    </row>
    <row r="17" spans="2:18" s="2" customFormat="1" ht="29.25" customHeight="1" x14ac:dyDescent="0.25">
      <c r="B17" s="49" t="s">
        <v>1</v>
      </c>
      <c r="C17" s="49"/>
      <c r="D17" s="50" t="s">
        <v>192</v>
      </c>
      <c r="E17" s="50" t="s">
        <v>192</v>
      </c>
      <c r="F17" s="50" t="s">
        <v>193</v>
      </c>
      <c r="G17" s="50" t="s">
        <v>193</v>
      </c>
      <c r="H17" s="50" t="s">
        <v>193</v>
      </c>
      <c r="I17" s="50" t="s">
        <v>194</v>
      </c>
      <c r="J17" s="50" t="s">
        <v>194</v>
      </c>
      <c r="K17" s="50" t="s">
        <v>194</v>
      </c>
      <c r="M17" s="84" t="s">
        <v>135</v>
      </c>
      <c r="N17" s="84" t="s">
        <v>135</v>
      </c>
      <c r="O17" s="50" t="s">
        <v>193</v>
      </c>
      <c r="P17" s="50" t="s">
        <v>193</v>
      </c>
      <c r="Q17" s="50" t="s">
        <v>194</v>
      </c>
      <c r="R17" s="50" t="s">
        <v>194</v>
      </c>
    </row>
    <row r="18" spans="2:18" ht="17.25" x14ac:dyDescent="0.25">
      <c r="B18" s="55" t="s">
        <v>2</v>
      </c>
      <c r="C18" s="55" t="s">
        <v>3</v>
      </c>
      <c r="D18" s="56">
        <v>1</v>
      </c>
      <c r="E18" s="56">
        <v>1</v>
      </c>
      <c r="F18" s="56">
        <v>2</v>
      </c>
      <c r="G18" s="56">
        <v>2</v>
      </c>
      <c r="H18" s="56">
        <v>2</v>
      </c>
      <c r="I18" s="56">
        <v>3</v>
      </c>
      <c r="J18" s="56">
        <v>3</v>
      </c>
      <c r="K18" s="56">
        <v>3</v>
      </c>
      <c r="M18" s="56">
        <v>3</v>
      </c>
      <c r="N18" s="56">
        <v>3</v>
      </c>
      <c r="O18" s="56">
        <v>2</v>
      </c>
      <c r="P18" s="56">
        <v>2</v>
      </c>
      <c r="Q18" s="56">
        <v>3</v>
      </c>
      <c r="R18" s="56">
        <v>3</v>
      </c>
    </row>
    <row r="19" spans="2:18" x14ac:dyDescent="0.25">
      <c r="B19" s="55" t="s">
        <v>195</v>
      </c>
      <c r="C19" s="55" t="s">
        <v>5</v>
      </c>
      <c r="D19" s="56">
        <f>low_range</f>
        <v>100</v>
      </c>
      <c r="E19" s="56">
        <v>180</v>
      </c>
      <c r="F19" s="56">
        <f>low_range</f>
        <v>100</v>
      </c>
      <c r="G19" s="56">
        <f>mid_range</f>
        <v>180</v>
      </c>
      <c r="H19" s="56">
        <f>long_range</f>
        <v>250</v>
      </c>
      <c r="I19" s="56">
        <f>low_range</f>
        <v>100</v>
      </c>
      <c r="J19" s="56">
        <f>mid_range</f>
        <v>180</v>
      </c>
      <c r="K19" s="56">
        <f>long_range</f>
        <v>250</v>
      </c>
      <c r="M19" s="56">
        <v>180</v>
      </c>
      <c r="N19" s="56">
        <v>250</v>
      </c>
      <c r="O19" s="56">
        <f>mid_range</f>
        <v>180</v>
      </c>
      <c r="P19" s="56">
        <f>long_range</f>
        <v>250</v>
      </c>
      <c r="Q19" s="56">
        <f>mid_range</f>
        <v>180</v>
      </c>
      <c r="R19" s="56">
        <f>long_range</f>
        <v>250</v>
      </c>
    </row>
    <row r="20" spans="2:18" x14ac:dyDescent="0.25">
      <c r="B20" s="55" t="s">
        <v>6</v>
      </c>
      <c r="C20" s="55" t="s">
        <v>7</v>
      </c>
      <c r="D20" s="86" t="str">
        <f>C6</f>
        <v>WMTC short range</v>
      </c>
      <c r="E20" s="86" t="s">
        <v>196</v>
      </c>
      <c r="F20" s="86" t="str">
        <f>C6</f>
        <v>WMTC short range</v>
      </c>
      <c r="G20" s="86" t="s">
        <v>196</v>
      </c>
      <c r="H20" s="86" t="s">
        <v>197</v>
      </c>
      <c r="I20" s="86" t="str">
        <f>C6</f>
        <v>WMTC short range</v>
      </c>
      <c r="J20" s="86" t="s">
        <v>196</v>
      </c>
      <c r="K20" s="86" t="s">
        <v>197</v>
      </c>
      <c r="M20" s="86" t="s">
        <v>198</v>
      </c>
      <c r="N20" s="86" t="s">
        <v>199</v>
      </c>
      <c r="O20" s="86" t="s">
        <v>198</v>
      </c>
      <c r="P20" s="86" t="s">
        <v>199</v>
      </c>
      <c r="Q20" s="86" t="s">
        <v>198</v>
      </c>
      <c r="R20" s="86" t="s">
        <v>199</v>
      </c>
    </row>
    <row r="21" spans="2:18" x14ac:dyDescent="0.25">
      <c r="D21" t="s">
        <v>200</v>
      </c>
      <c r="E21" t="s">
        <v>201</v>
      </c>
      <c r="F21" t="s">
        <v>200</v>
      </c>
      <c r="G21" t="s">
        <v>202</v>
      </c>
      <c r="H21" t="s">
        <v>203</v>
      </c>
      <c r="I21" t="s">
        <v>204</v>
      </c>
      <c r="J21" t="s">
        <v>205</v>
      </c>
      <c r="K21" t="s">
        <v>206</v>
      </c>
      <c r="M21" t="s">
        <v>207</v>
      </c>
      <c r="N21" t="s">
        <v>208</v>
      </c>
      <c r="O21" t="s">
        <v>209</v>
      </c>
      <c r="P21" t="s">
        <v>210</v>
      </c>
      <c r="Q21" t="s">
        <v>211</v>
      </c>
      <c r="R21" t="s">
        <v>212</v>
      </c>
    </row>
    <row r="22" spans="2:18" x14ac:dyDescent="0.25">
      <c r="B22" s="72" t="s">
        <v>213</v>
      </c>
      <c r="D22">
        <f>K12</f>
        <v>4065.26</v>
      </c>
      <c r="E22">
        <f>K12+K13</f>
        <v>13176.65</v>
      </c>
      <c r="F22">
        <f>D22</f>
        <v>4065.26</v>
      </c>
      <c r="G22">
        <f>K12+K13</f>
        <v>13176.65</v>
      </c>
      <c r="H22">
        <f>K12+K13+K14</f>
        <v>28912.92</v>
      </c>
      <c r="I22">
        <f>K12</f>
        <v>4065.26</v>
      </c>
      <c r="J22">
        <f t="shared" ref="J22" si="1">G22</f>
        <v>13176.65</v>
      </c>
      <c r="K22">
        <f>H22</f>
        <v>28912.92</v>
      </c>
      <c r="O22">
        <f>J22</f>
        <v>13176.65</v>
      </c>
      <c r="P22">
        <f t="shared" ref="P22" si="2">K22</f>
        <v>28912.92</v>
      </c>
      <c r="Q22">
        <f>J22</f>
        <v>13176.65</v>
      </c>
      <c r="R22">
        <f>K22</f>
        <v>28912.92</v>
      </c>
    </row>
    <row r="24" spans="2:18" x14ac:dyDescent="0.25">
      <c r="D24" s="2"/>
      <c r="E24" s="2"/>
      <c r="F24" s="2"/>
      <c r="G24" s="2"/>
      <c r="H24" s="2"/>
    </row>
    <row r="25" spans="2:18" x14ac:dyDescent="0.25">
      <c r="E25" s="3"/>
      <c r="F25" s="3"/>
    </row>
    <row r="27" spans="2:18" x14ac:dyDescent="0.25">
      <c r="D27" s="3"/>
      <c r="E27" s="3"/>
      <c r="F27" s="3"/>
      <c r="G27" s="3"/>
    </row>
    <row r="29" spans="2:18" x14ac:dyDescent="0.25">
      <c r="D29" s="3"/>
      <c r="E29" s="3"/>
      <c r="F29" s="3"/>
    </row>
    <row r="30" spans="2:18" x14ac:dyDescent="0.25">
      <c r="D30" s="3"/>
      <c r="E30" s="3"/>
      <c r="F30" s="3"/>
    </row>
    <row r="31" spans="2:18" x14ac:dyDescent="0.25">
      <c r="D31" s="3"/>
      <c r="E31" s="3"/>
      <c r="F31" s="3"/>
    </row>
    <row r="36" spans="1:12" x14ac:dyDescent="0.25">
      <c r="E36" s="4"/>
      <c r="F36" s="4"/>
      <c r="G36" s="4"/>
      <c r="H36" s="4"/>
    </row>
    <row r="42" spans="1:12" x14ac:dyDescent="0.25">
      <c r="A42" s="2"/>
      <c r="B42" s="2"/>
      <c r="C42" s="2"/>
      <c r="L42" s="2"/>
    </row>
    <row r="45" spans="1:12" x14ac:dyDescent="0.25">
      <c r="L45" s="5"/>
    </row>
    <row r="46" spans="1:12" x14ac:dyDescent="0.25">
      <c r="A46" s="1"/>
    </row>
  </sheetData>
  <mergeCells count="1">
    <mergeCell ref="O16:R16"/>
  </mergeCells>
  <phoneticPr fontId="6" type="noConversion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169764F2FE3847B037BD45120B2543" ma:contentTypeVersion="3" ma:contentTypeDescription="Create a new document." ma:contentTypeScope="" ma:versionID="b42dca10ed03bad58d373ce587f84264">
  <xsd:schema xmlns:xsd="http://www.w3.org/2001/XMLSchema" xmlns:xs="http://www.w3.org/2001/XMLSchema" xmlns:p="http://schemas.microsoft.com/office/2006/metadata/properties" xmlns:ns2="60ce8e39-f4c1-45ea-893e-3f694910eeb2" targetNamespace="http://schemas.microsoft.com/office/2006/metadata/properties" ma:root="true" ma:fieldsID="a6c6b757dcc1998f352aa84ba83d3f26" ns2:_="">
    <xsd:import namespace="60ce8e39-f4c1-45ea-893e-3f694910ee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ce8e39-f4c1-45ea-893e-3f694910ee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2E7C1B-975C-448B-8113-EDA1BDDB5ED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A0D3D95-F7D2-482A-972A-8F4C91514C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B03013-36E6-4563-8F90-F13D9A0A6F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ce8e39-f4c1-45ea-893e-3f694910ee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47</vt:i4>
      </vt:variant>
    </vt:vector>
  </HeadingPairs>
  <TitlesOfParts>
    <vt:vector size="54" baseType="lpstr">
      <vt:lpstr>result table</vt:lpstr>
      <vt:lpstr>TCO</vt:lpstr>
      <vt:lpstr>packaging</vt:lpstr>
      <vt:lpstr>stability</vt:lpstr>
      <vt:lpstr>initial performance</vt:lpstr>
      <vt:lpstr>moment of inertia</vt:lpstr>
      <vt:lpstr>use case data</vt:lpstr>
      <vt:lpstr>alum_cost</vt:lpstr>
      <vt:lpstr>alum_weight</vt:lpstr>
      <vt:lpstr>annual_days</vt:lpstr>
      <vt:lpstr>assembly_cost</vt:lpstr>
      <vt:lpstr>asswmbly_cost</vt:lpstr>
      <vt:lpstr>AV_cost</vt:lpstr>
      <vt:lpstr>ave_cargo</vt:lpstr>
      <vt:lpstr>body_cost</vt:lpstr>
      <vt:lpstr>cargo_SW</vt:lpstr>
      <vt:lpstr>dist</vt:lpstr>
      <vt:lpstr>E_Cost</vt:lpstr>
      <vt:lpstr>end_of_life</vt:lpstr>
      <vt:lpstr>front_overhang</vt:lpstr>
      <vt:lpstr>half_t</vt:lpstr>
      <vt:lpstr>kerb_weight</vt:lpstr>
      <vt:lpstr>long_range</vt:lpstr>
      <vt:lpstr>low_range</vt:lpstr>
      <vt:lpstr>margin</vt:lpstr>
      <vt:lpstr>metropole_weight_factor</vt:lpstr>
      <vt:lpstr>mid_mile_weight_factor</vt:lpstr>
      <vt:lpstr>mid_range</vt:lpstr>
      <vt:lpstr>mod_capacity</vt:lpstr>
      <vt:lpstr>mod_height</vt:lpstr>
      <vt:lpstr>mod_length</vt:lpstr>
      <vt:lpstr>mod_width</vt:lpstr>
      <vt:lpstr>motor_cost</vt:lpstr>
      <vt:lpstr>num_decks</vt:lpstr>
      <vt:lpstr>num_module</vt:lpstr>
      <vt:lpstr>pack_cost</vt:lpstr>
      <vt:lpstr>plast_weight</vt:lpstr>
      <vt:lpstr>plastic_cost</vt:lpstr>
      <vt:lpstr>powerE_cost</vt:lpstr>
      <vt:lpstr>res_value</vt:lpstr>
      <vt:lpstr>serv_relat_cost</vt:lpstr>
      <vt:lpstr>short_range</vt:lpstr>
      <vt:lpstr>specific_energy</vt:lpstr>
      <vt:lpstr>steel_cost</vt:lpstr>
      <vt:lpstr>t</vt:lpstr>
      <vt:lpstr>tire_stat_rad</vt:lpstr>
      <vt:lpstr>track</vt:lpstr>
      <vt:lpstr>TRR</vt:lpstr>
      <vt:lpstr>use_bat_E</vt:lpstr>
      <vt:lpstr>V_nom</vt:lpstr>
      <vt:lpstr>WB</vt:lpstr>
      <vt:lpstr>Xb</vt:lpstr>
      <vt:lpstr>Z_bat_bot</vt:lpstr>
      <vt:lpstr>Zb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 Hermann</dc:creator>
  <cp:keywords/>
  <dc:description/>
  <cp:lastModifiedBy>Dan Hermann</cp:lastModifiedBy>
  <cp:revision/>
  <dcterms:created xsi:type="dcterms:W3CDTF">2020-12-31T09:27:00Z</dcterms:created>
  <dcterms:modified xsi:type="dcterms:W3CDTF">2025-05-29T14:08:49Z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0x01010073169764F2FE3847B037BD45120B2543</vt:lpwstr>
  </property>
</Properties>
</file>