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495" windowWidth="20730" windowHeight="11760" tabRatio="840" firstSheet="1" activeTab="12"/>
  </bookViews>
  <sheets>
    <sheet name="trhacka" sheetId="6" r:id="rId1"/>
    <sheet name="výpočty" sheetId="1" r:id="rId2"/>
    <sheet name="hustota" sheetId="3" r:id="rId3"/>
    <sheet name="pevnost a taznost" sheetId="4" r:id="rId4"/>
    <sheet name="počáteční prodloužení" sheetId="2" r:id="rId5"/>
    <sheet name="pomerne protazeni" sheetId="10" r:id="rId6"/>
    <sheet name="KES" sheetId="5" r:id="rId7"/>
    <sheet name="porovnani metod" sheetId="7" r:id="rId8"/>
    <sheet name="s.m." sheetId="8" r:id="rId9"/>
    <sheet name="analyza" sheetId="14" r:id="rId10"/>
    <sheet name="rozmery" sheetId="9" r:id="rId11"/>
    <sheet name="tricko tabulka" sheetId="12" r:id="rId12"/>
    <sheet name="kontrola" sheetId="15" r:id="rId13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" i="8" l="1"/>
  <c r="AE5" i="8"/>
  <c r="AD6" i="8"/>
  <c r="AE6" i="8"/>
  <c r="AD7" i="8"/>
  <c r="AE7" i="8"/>
  <c r="AD8" i="8"/>
  <c r="AE8" i="8"/>
  <c r="AD12" i="8"/>
  <c r="AE12" i="8"/>
  <c r="AD13" i="8"/>
  <c r="AE13" i="8"/>
  <c r="AD14" i="8"/>
  <c r="AE14" i="8"/>
  <c r="AD15" i="8"/>
  <c r="AE15" i="8"/>
  <c r="G26" i="4" l="1"/>
  <c r="F26" i="4"/>
  <c r="G15" i="4"/>
  <c r="F15" i="4"/>
  <c r="D26" i="4"/>
  <c r="C26" i="4"/>
  <c r="D15" i="4"/>
  <c r="C15" i="4"/>
  <c r="P6" i="15"/>
  <c r="P7" i="15"/>
  <c r="P8" i="15"/>
  <c r="P9" i="15"/>
  <c r="P10" i="15"/>
  <c r="P5" i="15"/>
  <c r="O6" i="15"/>
  <c r="O7" i="15"/>
  <c r="O8" i="15"/>
  <c r="O9" i="15"/>
  <c r="O10" i="15"/>
  <c r="O5" i="15"/>
  <c r="X17" i="8"/>
  <c r="Z17" i="8" s="1"/>
  <c r="Y17" i="8"/>
  <c r="X9" i="8"/>
  <c r="Y9" i="8"/>
  <c r="Y24" i="12"/>
  <c r="Z24" i="12" s="1"/>
  <c r="AC24" i="12" l="1"/>
  <c r="Z9" i="8"/>
  <c r="D73" i="1"/>
  <c r="Y39" i="12"/>
  <c r="AC39" i="12" s="1"/>
  <c r="Z39" i="12" l="1"/>
  <c r="N27" i="8"/>
  <c r="O27" i="8"/>
  <c r="P27" i="8"/>
  <c r="Q27" i="8"/>
  <c r="O15" i="8"/>
  <c r="P15" i="8"/>
  <c r="Q15" i="8"/>
  <c r="R15" i="8"/>
  <c r="S15" i="8"/>
  <c r="N15" i="8"/>
  <c r="F15" i="8"/>
  <c r="G15" i="8"/>
  <c r="H15" i="8"/>
  <c r="I15" i="8"/>
  <c r="E15" i="8"/>
  <c r="F27" i="8"/>
  <c r="E27" i="8"/>
  <c r="G27" i="8"/>
  <c r="H27" i="8"/>
  <c r="E21" i="8"/>
  <c r="Y8" i="8"/>
  <c r="Y16" i="8"/>
  <c r="Y15" i="8"/>
  <c r="Y14" i="8"/>
  <c r="AF5" i="8"/>
  <c r="Y13" i="8"/>
  <c r="X14" i="8"/>
  <c r="X15" i="8"/>
  <c r="X16" i="8"/>
  <c r="X13" i="8"/>
  <c r="X5" i="8"/>
  <c r="Y7" i="8"/>
  <c r="Y6" i="8"/>
  <c r="Y5" i="8"/>
  <c r="X6" i="8"/>
  <c r="X7" i="8"/>
  <c r="X8" i="8"/>
  <c r="F11" i="6"/>
  <c r="F10" i="6"/>
  <c r="G36" i="2"/>
  <c r="H60" i="1"/>
  <c r="H57" i="1"/>
  <c r="D41" i="1"/>
  <c r="C41" i="1"/>
  <c r="C40" i="1"/>
  <c r="E51" i="1"/>
  <c r="Z15" i="8" l="1"/>
  <c r="Z16" i="8"/>
  <c r="Z8" i="8"/>
  <c r="Z5" i="8"/>
  <c r="AF14" i="8"/>
  <c r="Z6" i="8"/>
  <c r="AF12" i="8"/>
  <c r="Z7" i="8"/>
  <c r="AF13" i="8"/>
  <c r="Z13" i="8"/>
  <c r="AF8" i="8"/>
  <c r="AF15" i="8"/>
  <c r="AF7" i="8"/>
  <c r="Z14" i="8"/>
  <c r="AF6" i="8"/>
  <c r="I9" i="8"/>
  <c r="H21" i="8"/>
  <c r="G21" i="8"/>
  <c r="F21" i="8"/>
  <c r="H9" i="8"/>
  <c r="G9" i="8"/>
  <c r="F9" i="8"/>
  <c r="S9" i="8"/>
  <c r="R9" i="8"/>
  <c r="Q9" i="8"/>
  <c r="P9" i="8"/>
  <c r="O9" i="8"/>
  <c r="Q21" i="8"/>
  <c r="P21" i="8"/>
  <c r="O21" i="8"/>
  <c r="N21" i="8"/>
  <c r="Y18" i="12" l="1"/>
  <c r="Y19" i="12"/>
  <c r="Y20" i="12"/>
  <c r="Y26" i="12"/>
  <c r="Y30" i="12"/>
  <c r="Y34" i="12"/>
  <c r="Y42" i="12"/>
  <c r="AC30" i="12" l="1"/>
  <c r="Z30" i="12"/>
  <c r="AC18" i="12"/>
  <c r="Z18" i="12"/>
  <c r="Z26" i="12"/>
  <c r="AC26" i="12"/>
  <c r="AC42" i="12"/>
  <c r="Z42" i="12"/>
  <c r="Y21" i="12"/>
  <c r="AC20" i="12"/>
  <c r="Z20" i="12"/>
  <c r="AC34" i="12"/>
  <c r="Z34" i="12"/>
  <c r="AC19" i="12"/>
  <c r="Z19" i="12"/>
  <c r="Y38" i="12"/>
  <c r="N37" i="1"/>
  <c r="G57" i="1"/>
  <c r="W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J10" i="6"/>
  <c r="N10" i="6"/>
  <c r="R10" i="6"/>
  <c r="W9" i="6"/>
  <c r="W8" i="6"/>
  <c r="W10" i="6"/>
  <c r="N11" i="6"/>
  <c r="R14" i="6"/>
  <c r="J11" i="6"/>
  <c r="R11" i="6"/>
  <c r="R12" i="6"/>
  <c r="R13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D9" i="5"/>
  <c r="D7" i="5"/>
  <c r="D8" i="5"/>
  <c r="D6" i="5"/>
  <c r="G67" i="1"/>
  <c r="H66" i="1"/>
  <c r="H67" i="1"/>
  <c r="H68" i="1"/>
  <c r="G66" i="1"/>
  <c r="G68" i="1"/>
  <c r="H65" i="1"/>
  <c r="G65" i="1"/>
  <c r="D57" i="1"/>
  <c r="F57" i="1" s="1"/>
  <c r="AC38" i="12" l="1"/>
  <c r="Z38" i="12"/>
  <c r="Y22" i="12"/>
  <c r="AC21" i="12"/>
  <c r="Z21" i="12"/>
  <c r="O34" i="2"/>
  <c r="O35" i="2"/>
  <c r="O36" i="2"/>
  <c r="L34" i="2"/>
  <c r="L35" i="2"/>
  <c r="L36" i="2"/>
  <c r="D9" i="3"/>
  <c r="G18" i="3"/>
  <c r="D18" i="3"/>
  <c r="G9" i="3"/>
  <c r="C38" i="1"/>
  <c r="G17" i="3"/>
  <c r="D17" i="3"/>
  <c r="G8" i="3"/>
  <c r="D8" i="3"/>
  <c r="C37" i="1"/>
  <c r="H59" i="1" s="1"/>
  <c r="G58" i="1"/>
  <c r="S14" i="1"/>
  <c r="D58" i="1"/>
  <c r="F58" i="1" s="1"/>
  <c r="R14" i="1"/>
  <c r="N14" i="1"/>
  <c r="M14" i="1"/>
  <c r="G60" i="1"/>
  <c r="I14" i="1"/>
  <c r="D60" i="1"/>
  <c r="F60" i="1" s="1"/>
  <c r="H14" i="1"/>
  <c r="F52" i="1" s="1"/>
  <c r="G59" i="1"/>
  <c r="D14" i="1"/>
  <c r="D59" i="1"/>
  <c r="F59" i="1" s="1"/>
  <c r="C14" i="1"/>
  <c r="S37" i="1"/>
  <c r="R37" i="1"/>
  <c r="H58" i="1" s="1"/>
  <c r="M37" i="1"/>
  <c r="I37" i="1"/>
  <c r="H37" i="1"/>
  <c r="D37" i="1"/>
  <c r="S38" i="1"/>
  <c r="R38" i="1"/>
  <c r="R40" i="1" s="1"/>
  <c r="I58" i="1" s="1"/>
  <c r="N38" i="1"/>
  <c r="N39" i="1" s="1"/>
  <c r="M38" i="1"/>
  <c r="I38" i="1"/>
  <c r="I39" i="1" s="1"/>
  <c r="H38" i="1"/>
  <c r="D38" i="1"/>
  <c r="D39" i="1" s="1"/>
  <c r="R39" i="1"/>
  <c r="D74" i="1" s="1"/>
  <c r="M39" i="1"/>
  <c r="E52" i="1"/>
  <c r="AC22" i="12" l="1"/>
  <c r="Z22" i="12"/>
  <c r="S39" i="1"/>
  <c r="H39" i="1"/>
  <c r="D76" i="1" s="1"/>
  <c r="H40" i="1"/>
  <c r="L60" i="1"/>
  <c r="K60" i="1"/>
  <c r="F51" i="1"/>
  <c r="J59" i="1"/>
  <c r="L59" i="1" s="1"/>
  <c r="I59" i="1"/>
  <c r="K59" i="1" s="1"/>
  <c r="C39" i="1"/>
  <c r="D75" i="1" s="1"/>
  <c r="D36" i="2"/>
  <c r="D35" i="2"/>
  <c r="D34" i="2"/>
  <c r="G35" i="2"/>
  <c r="G34" i="2"/>
  <c r="G20" i="3"/>
  <c r="G21" i="3"/>
  <c r="G19" i="3"/>
  <c r="D19" i="3"/>
  <c r="D21" i="3"/>
  <c r="D20" i="3"/>
  <c r="G12" i="3"/>
  <c r="G11" i="3"/>
  <c r="G10" i="3"/>
  <c r="D10" i="3"/>
  <c r="D11" i="3"/>
  <c r="D12" i="3"/>
  <c r="H41" i="1"/>
  <c r="D40" i="1"/>
  <c r="I40" i="1"/>
  <c r="I41" i="1"/>
  <c r="M40" i="1"/>
  <c r="I57" i="1" s="1"/>
  <c r="K57" i="1" s="1"/>
  <c r="M41" i="1"/>
  <c r="J57" i="1" s="1"/>
  <c r="L57" i="1" s="1"/>
  <c r="R41" i="1"/>
  <c r="J58" i="1" s="1"/>
  <c r="N41" i="1"/>
  <c r="N40" i="1"/>
  <c r="S41" i="1"/>
  <c r="S40" i="1"/>
</calcChain>
</file>

<file path=xl/sharedStrings.xml><?xml version="1.0" encoding="utf-8"?>
<sst xmlns="http://schemas.openxmlformats.org/spreadsheetml/2006/main" count="730" uniqueCount="347">
  <si>
    <t>Zkouška ZO_sl</t>
  </si>
  <si>
    <t>Nejvyssi pevnost [N]</t>
  </si>
  <si>
    <t>Taznost pri nejvyssi pevnosti [%]</t>
  </si>
  <si>
    <t>Zkouška ZO_r</t>
  </si>
  <si>
    <t>Zkouška ZJ_sl</t>
  </si>
  <si>
    <t>Zkouška ZJ_r</t>
  </si>
  <si>
    <t>Typ mat.</t>
  </si>
  <si>
    <t>-</t>
  </si>
  <si>
    <t>72,287</t>
  </si>
  <si>
    <t>263,322</t>
  </si>
  <si>
    <t>168,06</t>
  </si>
  <si>
    <t>57,442</t>
  </si>
  <si>
    <t>118,68</t>
  </si>
  <si>
    <t>161,469</t>
  </si>
  <si>
    <t>Vazba</t>
  </si>
  <si>
    <t>ZJ</t>
  </si>
  <si>
    <t>ZO</t>
  </si>
  <si>
    <t>79,811</t>
  </si>
  <si>
    <t>117,78</t>
  </si>
  <si>
    <t>336,966</t>
  </si>
  <si>
    <t>149,89</t>
  </si>
  <si>
    <t>61,078</t>
  </si>
  <si>
    <t>110,82</t>
  </si>
  <si>
    <t>171,508</t>
  </si>
  <si>
    <t>Mat. složení</t>
  </si>
  <si>
    <t>100% vlna</t>
  </si>
  <si>
    <t>76,178</t>
  </si>
  <si>
    <t>111,05</t>
  </si>
  <si>
    <t>269,958</t>
  </si>
  <si>
    <t>143,67</t>
  </si>
  <si>
    <t>65,804</t>
  </si>
  <si>
    <t>126,74</t>
  </si>
  <si>
    <t>182,287</t>
  </si>
  <si>
    <t>Hustota na 1 m</t>
  </si>
  <si>
    <t>Sloupky</t>
  </si>
  <si>
    <t>68,12</t>
  </si>
  <si>
    <t>106,9</t>
  </si>
  <si>
    <t>335,991</t>
  </si>
  <si>
    <t>176,7</t>
  </si>
  <si>
    <t>73,907</t>
  </si>
  <si>
    <t>121,46</t>
  </si>
  <si>
    <t>166,63</t>
  </si>
  <si>
    <t>Řádky</t>
  </si>
  <si>
    <t>63,995</t>
  </si>
  <si>
    <t>108,57</t>
  </si>
  <si>
    <t>339,579</t>
  </si>
  <si>
    <t>221,33</t>
  </si>
  <si>
    <t>80,096</t>
  </si>
  <si>
    <t>135,46</t>
  </si>
  <si>
    <t>173,096</t>
  </si>
  <si>
    <t>Hmotnost</t>
  </si>
  <si>
    <t>[g/m2]</t>
  </si>
  <si>
    <t>54,84</t>
  </si>
  <si>
    <t>92,4</t>
  </si>
  <si>
    <t>320,37</t>
  </si>
  <si>
    <t>194,94</t>
  </si>
  <si>
    <t>60,112</t>
  </si>
  <si>
    <t>120,71</t>
  </si>
  <si>
    <t>175,436</t>
  </si>
  <si>
    <t>Poměrná pevnost</t>
  </si>
  <si>
    <t>[N/sl]</t>
  </si>
  <si>
    <t>64,765</t>
  </si>
  <si>
    <t>106,96</t>
  </si>
  <si>
    <t>331,97</t>
  </si>
  <si>
    <t>171,5</t>
  </si>
  <si>
    <t>63,927</t>
  </si>
  <si>
    <t>125,8</t>
  </si>
  <si>
    <t>150,502</t>
  </si>
  <si>
    <t>[N/ř]</t>
  </si>
  <si>
    <t>78,466</t>
  </si>
  <si>
    <t>108,42</t>
  </si>
  <si>
    <t>361,944</t>
  </si>
  <si>
    <t>165,91</t>
  </si>
  <si>
    <t>56,844</t>
  </si>
  <si>
    <t>135,52</t>
  </si>
  <si>
    <t>170,982</t>
  </si>
  <si>
    <t>75,147</t>
  </si>
  <si>
    <t>107,32</t>
  </si>
  <si>
    <t>371,753</t>
  </si>
  <si>
    <t>192,55</t>
  </si>
  <si>
    <t>72,384</t>
  </si>
  <si>
    <t>129,91</t>
  </si>
  <si>
    <t>146,054</t>
  </si>
  <si>
    <t>78,455</t>
  </si>
  <si>
    <t>102,96</t>
  </si>
  <si>
    <t>349,013</t>
  </si>
  <si>
    <t>134,97</t>
  </si>
  <si>
    <t>61,335</t>
  </si>
  <si>
    <t>134,11</t>
  </si>
  <si>
    <t>167,506</t>
  </si>
  <si>
    <t>Průměr</t>
  </si>
  <si>
    <t>S.O.</t>
  </si>
  <si>
    <t>28,421</t>
  </si>
  <si>
    <t>8,107</t>
  </si>
  <si>
    <t>6,477</t>
  </si>
  <si>
    <t>35,61</t>
  </si>
  <si>
    <t>26,076</t>
  </si>
  <si>
    <t>7,739</t>
  </si>
  <si>
    <t>8,126</t>
  </si>
  <si>
    <t>11,146</t>
  </si>
  <si>
    <t>VK %</t>
  </si>
  <si>
    <t>9,056</t>
  </si>
  <si>
    <t>VK</t>
  </si>
  <si>
    <t>6,077</t>
  </si>
  <si>
    <t>10,854</t>
  </si>
  <si>
    <t>15,165</t>
  </si>
  <si>
    <t>11,853</t>
  </si>
  <si>
    <t>6,453</t>
  </si>
  <si>
    <t>6,692</t>
  </si>
  <si>
    <t>Pevnost [N]</t>
  </si>
  <si>
    <t>μ-</t>
  </si>
  <si>
    <t>conf.</t>
  </si>
  <si>
    <t>Tažnost %</t>
  </si>
  <si>
    <t>μ+</t>
  </si>
  <si>
    <t>conf. -</t>
  </si>
  <si>
    <t>conf. +</t>
  </si>
  <si>
    <t>ZJ sloupek</t>
  </si>
  <si>
    <t>ZJ řádek</t>
  </si>
  <si>
    <t>ZO sloupek</t>
  </si>
  <si>
    <t>ZO řádek</t>
  </si>
  <si>
    <t>xd</t>
  </si>
  <si>
    <t>Tažnost [%]</t>
  </si>
  <si>
    <t>xh</t>
  </si>
  <si>
    <t>PL</t>
  </si>
  <si>
    <t>RL</t>
  </si>
  <si>
    <t>TL</t>
  </si>
  <si>
    <t>Síla [N]</t>
  </si>
  <si>
    <t xml:space="preserve">Prodl. pri pretrhu (mm) </t>
  </si>
  <si>
    <t xml:space="preserve">Síla pri pretrhu (N) </t>
  </si>
  <si>
    <t>Protažení [%]</t>
  </si>
  <si>
    <t>&gt;50</t>
  </si>
  <si>
    <t>zj s</t>
  </si>
  <si>
    <t>zj r</t>
  </si>
  <si>
    <t>Testometric</t>
  </si>
  <si>
    <t>KES</t>
  </si>
  <si>
    <t>Rychlost zkousky [mm/min]</t>
  </si>
  <si>
    <t>Pletenina</t>
  </si>
  <si>
    <t>Taznost [%]</t>
  </si>
  <si>
    <t>ZJ po sloupku</t>
  </si>
  <si>
    <t>247,5 </t>
  </si>
  <si>
    <t>ZJ po řádku</t>
  </si>
  <si>
    <t>ZO po sloupku</t>
  </si>
  <si>
    <t>ZO po řádku</t>
  </si>
  <si>
    <t>počáteční prodloužení [%]</t>
  </si>
  <si>
    <t>měření 1</t>
  </si>
  <si>
    <t>měření 2</t>
  </si>
  <si>
    <t>měření 3</t>
  </si>
  <si>
    <t>měření 4</t>
  </si>
  <si>
    <t>měření 5</t>
  </si>
  <si>
    <t>měření 6</t>
  </si>
  <si>
    <t>měření 7</t>
  </si>
  <si>
    <t>měření 8</t>
  </si>
  <si>
    <t>měření 9</t>
  </si>
  <si>
    <t>měření 10</t>
  </si>
  <si>
    <t>Stanovte pivotovou polosumu a její interval spolehlivosti</t>
  </si>
  <si>
    <t>Deformační tahová práce</t>
  </si>
  <si>
    <t>[gf*cm/cm2]</t>
  </si>
  <si>
    <t xml:space="preserve"> [N*m/m2]</t>
  </si>
  <si>
    <t>Rozměr</t>
  </si>
  <si>
    <t>Výška postavy</t>
  </si>
  <si>
    <t>Obvod hrudníku</t>
  </si>
  <si>
    <t>Šířka zad</t>
  </si>
  <si>
    <t>Délka zad</t>
  </si>
  <si>
    <t>Zadní hloubka podpaží</t>
  </si>
  <si>
    <t>Obvod zápěstí</t>
  </si>
  <si>
    <t>Obvod krku</t>
  </si>
  <si>
    <t>Délka oděvu</t>
  </si>
  <si>
    <t>Délka rukávu</t>
  </si>
  <si>
    <t>Poměrné protažení [%]</t>
  </si>
  <si>
    <t>N4“, Z, Z4, H4´, N4“</t>
  </si>
  <si>
    <t>obrys rukávu základní tvar</t>
  </si>
  <si>
    <t>8.</t>
  </si>
  <si>
    <t>Z4Z</t>
  </si>
  <si>
    <t>šířka rukávu v dolním kraji</t>
  </si>
  <si>
    <t>7.</t>
  </si>
  <si>
    <t>0,33 N4“ H4´</t>
  </si>
  <si>
    <t>N4 31=31 32=
=32 H4</t>
  </si>
  <si>
    <t>6.</t>
  </si>
  <si>
    <t>N4´´ H4´ =&gt; H4´</t>
  </si>
  <si>
    <t>parametr rukávová hlavice</t>
  </si>
  <si>
    <t>5.</t>
  </si>
  <si>
    <t>N4“ Z</t>
  </si>
  <si>
    <t>délka rukávu</t>
  </si>
  <si>
    <t>4.</t>
  </si>
  <si>
    <t>H“ N4“</t>
  </si>
  <si>
    <t>výška rukávové hlavice</t>
  </si>
  <si>
    <t>3.</t>
  </si>
  <si>
    <t>4 ⟂ h =&gt; H</t>
  </si>
  <si>
    <t>hrudní přímka</t>
  </si>
  <si>
    <t>2.</t>
  </si>
  <si>
    <t>středová přímka rukávu</t>
  </si>
  <si>
    <t>1.</t>
  </si>
  <si>
    <t>Vzorec</t>
  </si>
  <si>
    <t>Konstr. úsečka</t>
  </si>
  <si>
    <t>P.č.</t>
  </si>
  <si>
    <t>obrys PD</t>
  </si>
  <si>
    <t>1,0cm</t>
  </si>
  <si>
    <t>K7K71</t>
  </si>
  <si>
    <t>hloubka průkrčníku PD</t>
  </si>
  <si>
    <t>obrys ZD</t>
  </si>
  <si>
    <t>19.</t>
  </si>
  <si>
    <t>18.</t>
  </si>
  <si>
    <t>17.</t>
  </si>
  <si>
    <t>N4H4</t>
  </si>
  <si>
    <t>pomocná přímka</t>
  </si>
  <si>
    <t>16.</t>
  </si>
  <si>
    <t>H4D4 ⟂ h</t>
  </si>
  <si>
    <t>boční přímka</t>
  </si>
  <si>
    <t>15.</t>
  </si>
  <si>
    <t>H1H4</t>
  </si>
  <si>
    <t>14.</t>
  </si>
  <si>
    <t>K21N4</t>
  </si>
  <si>
    <t>náramenice</t>
  </si>
  <si>
    <t>13.</t>
  </si>
  <si>
    <t>N3N4</t>
  </si>
  <si>
    <t>zadní náramenicový bod</t>
  </si>
  <si>
    <t>12.</t>
  </si>
  <si>
    <t>H3N3⟂h</t>
  </si>
  <si>
    <t>zadní průramková</t>
  </si>
  <si>
    <t>11.</t>
  </si>
  <si>
    <t>H1H3 = H7H5</t>
  </si>
  <si>
    <t>zadní šířka</t>
  </si>
  <si>
    <t>10.</t>
  </si>
  <si>
    <t>1,3 cm</t>
  </si>
  <si>
    <t>K2K21 ⟂ k</t>
  </si>
  <si>
    <t>výška průkrčníku</t>
  </si>
  <si>
    <t>9.</t>
  </si>
  <si>
    <t>0,17 ok+1</t>
  </si>
  <si>
    <t>K1K2</t>
  </si>
  <si>
    <t>šířka průkrčníku</t>
  </si>
  <si>
    <t>n, l , h, p, d ⟂ 1</t>
  </si>
  <si>
    <t>horizontální přímky</t>
  </si>
  <si>
    <t>0,125 K1L1</t>
  </si>
  <si>
    <t>K1N1</t>
  </si>
  <si>
    <t>nadpažková přímka</t>
  </si>
  <si>
    <t>0,5 K1H1</t>
  </si>
  <si>
    <t>K1L1</t>
  </si>
  <si>
    <t>lopatková přímka</t>
  </si>
  <si>
    <t>K1H1</t>
  </si>
  <si>
    <t>zadní hloubka podpaží</t>
  </si>
  <si>
    <t>do</t>
  </si>
  <si>
    <t>K1D1</t>
  </si>
  <si>
    <t>délka oděvu</t>
  </si>
  <si>
    <t>K1P1</t>
  </si>
  <si>
    <t>délka zad</t>
  </si>
  <si>
    <t>1 ⟂ k</t>
  </si>
  <si>
    <t>zad.středová přímka a krční přímka</t>
  </si>
  <si>
    <t>ZADNÍ DÍL A PŘEDNÍ DÍL</t>
  </si>
  <si>
    <t>Konstrukční parametry jsou definovány pomocí výpočtového vzorce s ohledem na vlastnosti použité pleteniny:</t>
  </si>
  <si>
    <t xml:space="preserve">Poznámka: </t>
  </si>
  <si>
    <t>cm.</t>
  </si>
  <si>
    <t>dr =</t>
  </si>
  <si>
    <t>cm,</t>
  </si>
  <si>
    <t>do =</t>
  </si>
  <si>
    <t>Rozměry výrobku:</t>
  </si>
  <si>
    <t>ok=</t>
  </si>
  <si>
    <t>oz =</t>
  </si>
  <si>
    <t>zhp =</t>
  </si>
  <si>
    <t>dz =</t>
  </si>
  <si>
    <t>šz=</t>
  </si>
  <si>
    <t>oh =</t>
  </si>
  <si>
    <t>vp =</t>
  </si>
  <si>
    <t>Tělesné rozměry [cm]:</t>
  </si>
  <si>
    <t>Literatura: Aldrich W. Metric Pattern Cutting. Blackwell Publishing, 3.vydání, Oxford 2004</t>
  </si>
  <si>
    <t>průměr</t>
  </si>
  <si>
    <t>Legenda:</t>
  </si>
  <si>
    <t>prijemne</t>
  </si>
  <si>
    <t>tlaci</t>
  </si>
  <si>
    <t>pada</t>
  </si>
  <si>
    <t>perfektne sedi</t>
  </si>
  <si>
    <t>tlak [mmHg]</t>
  </si>
  <si>
    <t>tlak [Pa]</t>
  </si>
  <si>
    <t>S [m2]</t>
  </si>
  <si>
    <t>F[N]</t>
  </si>
  <si>
    <t>velikostni sortimemt HAKA</t>
  </si>
  <si>
    <t>(Größentabellen für Herren-Oberbekleidung, Runschau - Verlag Otto G. Königer GmbH&amp;Co. 1995. ISBN 3-929305-07-0)</t>
  </si>
  <si>
    <t>Velikost</t>
  </si>
  <si>
    <t>ZJ_hrudnik</t>
  </si>
  <si>
    <t>ZJ_rukav</t>
  </si>
  <si>
    <t>ZO_hrudnik</t>
  </si>
  <si>
    <t>ZO_rukav</t>
  </si>
  <si>
    <t>Šířka zad 1/2</t>
  </si>
  <si>
    <t>Obvod pasu</t>
  </si>
  <si>
    <t>Obvod sedu</t>
  </si>
  <si>
    <t>Délka od zadního k bočnímu krčnímu bodu</t>
  </si>
  <si>
    <t>Šířka průramku</t>
  </si>
  <si>
    <t>Hrudní šířka 1/2</t>
  </si>
  <si>
    <t>Boční délka dolní části těla</t>
  </si>
  <si>
    <t>Břišní šířka 1/2</t>
  </si>
  <si>
    <t>Vnitřní délka dolní končetiny</t>
  </si>
  <si>
    <t>Boční hloubka sedu</t>
  </si>
  <si>
    <t>Obvod ruky</t>
  </si>
  <si>
    <t>Velikost chodidla</t>
  </si>
  <si>
    <t>Obvod kolene</t>
  </si>
  <si>
    <t>Obvod lýtka</t>
  </si>
  <si>
    <t>Obvod kotníku</t>
  </si>
  <si>
    <t>K1,K21,N4,L3,H4,P4,D4,D1,K1</t>
  </si>
  <si>
    <t>K71,K21,N4,L31,H4,P4,D4,D7,K71</t>
  </si>
  <si>
    <t>řádek</t>
  </si>
  <si>
    <t>sloupek</t>
  </si>
  <si>
    <t>pletenina s roztažností v rozsahu 9,5% - 30% , vzorec uveden v hranatých závorkách</t>
  </si>
  <si>
    <t>Pro variantu s předpokládanou roztažností 30% a více je výpočtový vzorec uveden v kulatých závorkách.</t>
  </si>
  <si>
    <t>0,17 ok [– 0,5cm] (0,17 ok – 1cm)</t>
  </si>
  <si>
    <t>H4N4 z trupové části + 1 cm</t>
  </si>
  <si>
    <t>Bez uvažování elasticity materiálu</t>
  </si>
  <si>
    <t>ZJ řadek</t>
  </si>
  <si>
    <t>ZO řadek</t>
  </si>
  <si>
    <t>měřeni probanta</t>
  </si>
  <si>
    <t>měřeni probanta [cm]</t>
  </si>
  <si>
    <t>velikostni sortimemt HAKA [cm]</t>
  </si>
  <si>
    <t>KONSTRUKCE PANSKÉHO TRIKA VELIKOSTI 46</t>
  </si>
  <si>
    <t>H1H3</t>
  </si>
  <si>
    <t>hrudní šířka</t>
  </si>
  <si>
    <t>K1K7</t>
  </si>
  <si>
    <t>N4''H''</t>
  </si>
  <si>
    <t>N4''Z</t>
  </si>
  <si>
    <t>0,5šz</t>
  </si>
  <si>
    <t>0,25oh</t>
  </si>
  <si>
    <t>0,17 ok</t>
  </si>
  <si>
    <t>zhp</t>
  </si>
  <si>
    <t>dr</t>
  </si>
  <si>
    <t>Směr</t>
  </si>
  <si>
    <t>ZJ SW</t>
  </si>
  <si>
    <t>ZO SW</t>
  </si>
  <si>
    <t>rozdil ZJ</t>
  </si>
  <si>
    <t>rozdil ZO</t>
  </si>
  <si>
    <t>Obvod hrudniku</t>
  </si>
  <si>
    <t>Tlak [mmHg]</t>
  </si>
  <si>
    <t xml:space="preserve"> </t>
  </si>
  <si>
    <t>Síla[N]</t>
  </si>
  <si>
    <t>Konstrukční úsečka</t>
  </si>
  <si>
    <t>27.</t>
  </si>
  <si>
    <t>26.</t>
  </si>
  <si>
    <t>25.</t>
  </si>
  <si>
    <t>20.</t>
  </si>
  <si>
    <t>21.</t>
  </si>
  <si>
    <t>22.</t>
  </si>
  <si>
    <t>23.</t>
  </si>
  <si>
    <t>24.</t>
  </si>
  <si>
    <t>Bez uvažování elasticity mat.</t>
  </si>
  <si>
    <t>0,25oh [-1cm]                (0,25oh -3cm)</t>
  </si>
  <si>
    <t>0,5šz [-1cm]                   (0,5šz -2,5cm)</t>
  </si>
  <si>
    <t>dz [+0,5cm]                    (dz +1cm)</t>
  </si>
  <si>
    <t>zhp [-1cm]                      (zhp - 3cm)</t>
  </si>
  <si>
    <t>0,5 K1H1 [+0,5]               (0,5 K1H1+1)</t>
  </si>
  <si>
    <t>dr [+2cm]                        (dr +4cm)</t>
  </si>
  <si>
    <t>0,5 oz [+1 cm]                   (0,5 oz +0,5cm)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</si>
</sst>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>
    <font>
      <sz val="11"/>
      <color theme="1"/>
      <name val="Calibri"/>
      <family val="2"/>
      <scheme val="minor"/>
    </font>
    <font>
      <b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5"/>
      <color rgb="FF202124"/>
      <name val="Google Sans"/>
      <charset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rgb="FF444444"/>
      <name val="Calibri"/>
      <family val="2"/>
      <charset val="1"/>
    </font>
    <font>
      <b/>
      <sz val="12"/>
      <color rgb="FF000000"/>
      <name val="Times New Roman"/>
    </font>
    <font>
      <sz val="12"/>
      <color rgb="FF000000"/>
      <name val="Times New Roman"/>
    </font>
    <font>
      <sz val="11"/>
      <color rgb="FF000000"/>
      <name val="Calibri"/>
      <charset val="1"/>
    </font>
    <font>
      <sz val="12"/>
      <color theme="1"/>
      <name val="Times New Roman"/>
    </font>
    <font>
      <b/>
      <sz val="12"/>
      <color theme="1"/>
      <name val="Times New Roman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name val="Tahoma"/>
    </font>
    <font>
      <b/>
      <sz val="12"/>
      <color rgb="FF000000"/>
      <name val="Times New Roman"/>
      <charset val="1"/>
    </font>
    <font>
      <b/>
      <sz val="12"/>
      <color rgb="FF000000"/>
      <name val="Times New Roman"/>
      <family val="1"/>
      <charset val="204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444444"/>
      <name val="Times New Roman"/>
      <family val="1"/>
      <charset val="204"/>
    </font>
    <font>
      <sz val="10"/>
      <color rgb="FF444444"/>
      <name val="Times New Roman"/>
      <family val="1"/>
      <charset val="204"/>
    </font>
    <font>
      <sz val="9"/>
      <color rgb="FF444444"/>
      <name val="Times New Roman"/>
      <family val="1"/>
      <charset val="204"/>
    </font>
    <font>
      <sz val="11"/>
      <color theme="1"/>
      <name val="Calibri Light"/>
      <family val="2"/>
      <charset val="204"/>
      <scheme val="maj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</borders>
  <cellStyleXfs count="1">
    <xf numFmtId="0" fontId="0" fillId="0" borderId="0"/>
  </cellStyleXfs>
  <cellXfs count="28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1" xfId="0" applyNumberFormat="1" applyBorder="1" applyAlignment="1">
      <alignment horizontal="right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2" fontId="0" fillId="0" borderId="4" xfId="0" applyNumberFormat="1" applyBorder="1" applyAlignment="1">
      <alignment horizontal="right"/>
    </xf>
    <xf numFmtId="164" fontId="7" fillId="2" borderId="1" xfId="0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0" fontId="4" fillId="2" borderId="0" xfId="0" applyFont="1" applyFill="1"/>
    <xf numFmtId="164" fontId="0" fillId="0" borderId="0" xfId="0" applyNumberFormat="1"/>
    <xf numFmtId="164" fontId="0" fillId="2" borderId="0" xfId="0" applyNumberFormat="1" applyFill="1"/>
    <xf numFmtId="0" fontId="2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/>
    <xf numFmtId="164" fontId="3" fillId="2" borderId="1" xfId="0" quotePrefix="1" applyNumberFormat="1" applyFont="1" applyFill="1" applyBorder="1"/>
    <xf numFmtId="164" fontId="0" fillId="0" borderId="1" xfId="0" applyNumberFormat="1" applyBorder="1"/>
    <xf numFmtId="0" fontId="8" fillId="0" borderId="1" xfId="0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right"/>
    </xf>
    <xf numFmtId="164" fontId="6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/>
    <xf numFmtId="0" fontId="5" fillId="0" borderId="1" xfId="0" applyFont="1" applyBorder="1"/>
    <xf numFmtId="0" fontId="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10" fillId="0" borderId="0" xfId="0" applyFont="1"/>
    <xf numFmtId="0" fontId="10" fillId="4" borderId="0" xfId="0" applyFont="1" applyFill="1"/>
    <xf numFmtId="0" fontId="6" fillId="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11" fillId="0" borderId="0" xfId="0" applyFont="1"/>
    <xf numFmtId="0" fontId="2" fillId="2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3" fillId="0" borderId="0" xfId="0" applyFont="1"/>
    <xf numFmtId="0" fontId="2" fillId="2" borderId="9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2" fillId="0" borderId="14" xfId="0" applyFont="1" applyBorder="1" applyAlignment="1">
      <alignment horizontal="center"/>
    </xf>
    <xf numFmtId="164" fontId="9" fillId="0" borderId="4" xfId="0" applyNumberFormat="1" applyFont="1" applyBorder="1" applyAlignment="1">
      <alignment horizontal="right" vertical="center"/>
    </xf>
    <xf numFmtId="164" fontId="0" fillId="0" borderId="14" xfId="0" applyNumberFormat="1" applyBorder="1" applyAlignment="1">
      <alignment horizontal="right"/>
    </xf>
    <xf numFmtId="164" fontId="3" fillId="0" borderId="1" xfId="0" quotePrefix="1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4" fontId="7" fillId="2" borderId="1" xfId="0" applyNumberFormat="1" applyFont="1" applyFill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164" fontId="9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right"/>
    </xf>
    <xf numFmtId="164" fontId="14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 wrapText="1"/>
    </xf>
    <xf numFmtId="0" fontId="18" fillId="0" borderId="1" xfId="0" applyFont="1" applyBorder="1"/>
    <xf numFmtId="0" fontId="19" fillId="0" borderId="1" xfId="0" applyFont="1" applyBorder="1"/>
    <xf numFmtId="164" fontId="14" fillId="0" borderId="1" xfId="0" applyNumberFormat="1" applyFont="1" applyBorder="1"/>
    <xf numFmtId="0" fontId="14" fillId="0" borderId="1" xfId="0" applyFont="1" applyBorder="1" applyAlignment="1">
      <alignment horizontal="right"/>
    </xf>
    <xf numFmtId="0" fontId="20" fillId="0" borderId="1" xfId="0" applyFont="1" applyBorder="1" applyAlignment="1">
      <alignment horizontal="center" vertical="center"/>
    </xf>
    <xf numFmtId="164" fontId="16" fillId="0" borderId="1" xfId="0" applyNumberFormat="1" applyFont="1" applyBorder="1"/>
    <xf numFmtId="0" fontId="16" fillId="0" borderId="1" xfId="0" applyFont="1" applyBorder="1" applyAlignment="1">
      <alignment horizontal="right"/>
    </xf>
    <xf numFmtId="0" fontId="21" fillId="3" borderId="0" xfId="0" applyFont="1" applyFill="1" applyAlignment="1">
      <alignment horizontal="center" vertical="top" wrapText="1"/>
    </xf>
    <xf numFmtId="164" fontId="14" fillId="0" borderId="1" xfId="0" applyNumberFormat="1" applyFont="1" applyBorder="1" applyAlignment="1">
      <alignment horizontal="right"/>
    </xf>
    <xf numFmtId="0" fontId="19" fillId="0" borderId="4" xfId="0" applyFont="1" applyBorder="1"/>
    <xf numFmtId="0" fontId="20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164" fontId="14" fillId="0" borderId="1" xfId="0" quotePrefix="1" applyNumberFormat="1" applyFont="1" applyBorder="1"/>
    <xf numFmtId="0" fontId="19" fillId="0" borderId="1" xfId="0" applyFont="1" applyBorder="1" applyAlignment="1">
      <alignment vertical="center"/>
    </xf>
    <xf numFmtId="164" fontId="14" fillId="0" borderId="1" xfId="0" applyNumberFormat="1" applyFont="1" applyBorder="1" applyAlignment="1">
      <alignment vertical="center"/>
    </xf>
    <xf numFmtId="164" fontId="14" fillId="0" borderId="1" xfId="0" quotePrefix="1" applyNumberFormat="1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14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0" fillId="2" borderId="8" xfId="0" applyNumberFormat="1" applyFill="1" applyBorder="1" applyAlignment="1">
      <alignment horizontal="right"/>
    </xf>
    <xf numFmtId="0" fontId="2" fillId="0" borderId="14" xfId="0" applyFont="1" applyBorder="1"/>
    <xf numFmtId="0" fontId="8" fillId="0" borderId="14" xfId="0" applyFont="1" applyBorder="1" applyAlignment="1">
      <alignment horizontal="center"/>
    </xf>
    <xf numFmtId="164" fontId="3" fillId="0" borderId="14" xfId="0" quotePrefix="1" applyNumberFormat="1" applyFont="1" applyBorder="1" applyAlignment="1">
      <alignment horizontal="right" vertical="center"/>
    </xf>
    <xf numFmtId="0" fontId="0" fillId="0" borderId="14" xfId="0" applyBorder="1"/>
    <xf numFmtId="164" fontId="0" fillId="0" borderId="14" xfId="0" applyNumberFormat="1" applyBorder="1"/>
    <xf numFmtId="164" fontId="0" fillId="0" borderId="14" xfId="0" applyNumberFormat="1" applyBorder="1" applyAlignment="1">
      <alignment vertical="top" wrapText="1"/>
    </xf>
    <xf numFmtId="164" fontId="0" fillId="0" borderId="14" xfId="0" applyNumberFormat="1" applyBorder="1" applyAlignment="1">
      <alignment horizontal="right" vertical="center"/>
    </xf>
    <xf numFmtId="164" fontId="7" fillId="2" borderId="14" xfId="0" applyNumberFormat="1" applyFont="1" applyFill="1" applyBorder="1" applyAlignment="1">
      <alignment horizontal="right" vertical="center"/>
    </xf>
    <xf numFmtId="0" fontId="5" fillId="0" borderId="14" xfId="0" applyFont="1" applyBorder="1"/>
    <xf numFmtId="164" fontId="0" fillId="2" borderId="14" xfId="0" applyNumberFormat="1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4" xfId="0" applyBorder="1" applyAlignment="1">
      <alignment horizontal="right" vertical="center"/>
    </xf>
    <xf numFmtId="0" fontId="0" fillId="0" borderId="0" xfId="0" applyAlignment="1">
      <alignment horizontal="left" vertical="top" wrapText="1"/>
    </xf>
    <xf numFmtId="16" fontId="0" fillId="0" borderId="0" xfId="0" applyNumberForma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23" fillId="0" borderId="0" xfId="0" applyFont="1" applyAlignment="1">
      <alignment horizontal="center" vertical="center" wrapText="1"/>
    </xf>
    <xf numFmtId="0" fontId="0" fillId="7" borderId="0" xfId="0" applyFill="1"/>
    <xf numFmtId="0" fontId="0" fillId="3" borderId="0" xfId="0" applyFill="1"/>
    <xf numFmtId="0" fontId="0" fillId="8" borderId="0" xfId="0" applyFill="1"/>
    <xf numFmtId="0" fontId="0" fillId="0" borderId="14" xfId="0" applyBorder="1" applyAlignment="1"/>
    <xf numFmtId="0" fontId="0" fillId="9" borderId="14" xfId="0" applyFill="1" applyBorder="1"/>
    <xf numFmtId="0" fontId="0" fillId="0" borderId="14" xfId="0" applyBorder="1" applyAlignment="1">
      <alignment horizontal="center" vertical="center"/>
    </xf>
    <xf numFmtId="0" fontId="0" fillId="8" borderId="14" xfId="0" applyFill="1" applyBorder="1"/>
    <xf numFmtId="0" fontId="0" fillId="3" borderId="14" xfId="0" applyFill="1" applyBorder="1"/>
    <xf numFmtId="0" fontId="0" fillId="7" borderId="14" xfId="0" applyFill="1" applyBorder="1"/>
    <xf numFmtId="0" fontId="0" fillId="0" borderId="14" xfId="0" applyBorder="1" applyAlignment="1">
      <alignment wrapText="1"/>
    </xf>
    <xf numFmtId="0" fontId="25" fillId="0" borderId="14" xfId="0" applyFont="1" applyBorder="1"/>
    <xf numFmtId="0" fontId="24" fillId="7" borderId="14" xfId="0" applyFont="1" applyFill="1" applyBorder="1"/>
    <xf numFmtId="0" fontId="0" fillId="0" borderId="43" xfId="0" applyBorder="1" applyAlignment="1"/>
    <xf numFmtId="0" fontId="0" fillId="0" borderId="15" xfId="0" applyBorder="1" applyAlignment="1"/>
    <xf numFmtId="0" fontId="20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0" fontId="0" fillId="0" borderId="14" xfId="0" applyBorder="1" applyAlignment="1">
      <alignment horizontal="right" vertical="center" wrapText="1"/>
    </xf>
    <xf numFmtId="0" fontId="29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/>
    </xf>
    <xf numFmtId="0" fontId="30" fillId="0" borderId="14" xfId="0" applyFont="1" applyBorder="1" applyAlignment="1">
      <alignment horizontal="left" vertical="center"/>
    </xf>
    <xf numFmtId="0" fontId="28" fillId="9" borderId="14" xfId="0" applyFont="1" applyFill="1" applyBorder="1"/>
    <xf numFmtId="0" fontId="28" fillId="9" borderId="14" xfId="0" applyFont="1" applyFill="1" applyBorder="1" applyAlignment="1">
      <alignment horizontal="center"/>
    </xf>
    <xf numFmtId="0" fontId="28" fillId="9" borderId="14" xfId="0" applyFont="1" applyFill="1" applyBorder="1" applyAlignment="1">
      <alignment horizontal="center" vertical="center"/>
    </xf>
    <xf numFmtId="0" fontId="23" fillId="0" borderId="14" xfId="0" applyFont="1" applyBorder="1" applyAlignment="1">
      <alignment vertical="center" wrapText="1"/>
    </xf>
    <xf numFmtId="164" fontId="27" fillId="0" borderId="14" xfId="0" applyNumberFormat="1" applyFont="1" applyBorder="1"/>
    <xf numFmtId="0" fontId="31" fillId="0" borderId="14" xfId="0" applyFont="1" applyBorder="1" applyAlignment="1">
      <alignment horizontal="right" vertical="center" wrapText="1"/>
    </xf>
    <xf numFmtId="0" fontId="0" fillId="0" borderId="14" xfId="0" applyBorder="1" applyAlignment="1">
      <alignment horizontal="center" vertical="center"/>
    </xf>
    <xf numFmtId="2" fontId="0" fillId="8" borderId="14" xfId="0" applyNumberFormat="1" applyFill="1" applyBorder="1"/>
    <xf numFmtId="2" fontId="0" fillId="3" borderId="14" xfId="0" applyNumberFormat="1" applyFill="1" applyBorder="1"/>
    <xf numFmtId="2" fontId="24" fillId="7" borderId="14" xfId="0" applyNumberFormat="1" applyFont="1" applyFill="1" applyBorder="1"/>
    <xf numFmtId="2" fontId="0" fillId="0" borderId="14" xfId="0" applyNumberFormat="1" applyBorder="1"/>
    <xf numFmtId="2" fontId="0" fillId="7" borderId="14" xfId="0" applyNumberFormat="1" applyFill="1" applyBorder="1"/>
    <xf numFmtId="0" fontId="0" fillId="0" borderId="14" xfId="0" applyBorder="1" applyAlignment="1">
      <alignment horizontal="center" vertical="center" wrapText="1"/>
    </xf>
    <xf numFmtId="0" fontId="0" fillId="0" borderId="14" xfId="0" applyFill="1" applyBorder="1"/>
    <xf numFmtId="0" fontId="12" fillId="0" borderId="2" xfId="0" applyFont="1" applyBorder="1" applyAlignment="1">
      <alignment horizontal="center" vertical="center" wrapText="1"/>
    </xf>
    <xf numFmtId="0" fontId="0" fillId="0" borderId="14" xfId="0" applyBorder="1" applyAlignment="1">
      <alignment horizontal="right"/>
    </xf>
    <xf numFmtId="0" fontId="0" fillId="0" borderId="14" xfId="0" applyNumberFormat="1" applyBorder="1" applyAlignment="1">
      <alignment horizontal="right" vertical="center"/>
    </xf>
    <xf numFmtId="164" fontId="0" fillId="9" borderId="1" xfId="0" applyNumberFormat="1" applyFill="1" applyBorder="1"/>
    <xf numFmtId="0" fontId="0" fillId="9" borderId="14" xfId="0" applyNumberFormat="1" applyFill="1" applyBorder="1" applyAlignment="1">
      <alignment horizontal="right"/>
    </xf>
    <xf numFmtId="0" fontId="0" fillId="9" borderId="14" xfId="0" applyFill="1" applyBorder="1" applyAlignment="1">
      <alignment horizontal="right"/>
    </xf>
    <xf numFmtId="164" fontId="0" fillId="9" borderId="14" xfId="0" applyNumberFormat="1" applyFill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0" fontId="0" fillId="0" borderId="14" xfId="0" applyBorder="1" applyAlignment="1">
      <alignment horizontal="center" vertical="center" textRotation="90"/>
    </xf>
    <xf numFmtId="0" fontId="0" fillId="9" borderId="14" xfId="0" applyFill="1" applyBorder="1" applyAlignment="1">
      <alignment horizontal="center" vertical="center" textRotation="90"/>
    </xf>
    <xf numFmtId="0" fontId="23" fillId="0" borderId="34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0" fontId="27" fillId="0" borderId="14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41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23" fillId="0" borderId="33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 textRotation="90"/>
    </xf>
    <xf numFmtId="0" fontId="0" fillId="0" borderId="35" xfId="0" applyBorder="1" applyAlignment="1">
      <alignment horizontal="center" vertical="center" textRotation="90"/>
    </xf>
    <xf numFmtId="0" fontId="0" fillId="0" borderId="36" xfId="0" applyBorder="1" applyAlignment="1">
      <alignment horizontal="center" vertical="center" textRotation="90"/>
    </xf>
    <xf numFmtId="0" fontId="0" fillId="0" borderId="34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5" xfId="0" applyBorder="1"/>
    <xf numFmtId="0" fontId="34" fillId="0" borderId="30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3" fillId="0" borderId="28" xfId="0" applyFont="1" applyBorder="1" applyAlignment="1">
      <alignment horizontal="left" vertical="top"/>
    </xf>
    <xf numFmtId="0" fontId="33" fillId="0" borderId="27" xfId="0" applyFont="1" applyBorder="1" applyAlignment="1">
      <alignment horizontal="left" vertical="top"/>
    </xf>
    <xf numFmtId="0" fontId="33" fillId="0" borderId="26" xfId="0" applyFont="1" applyBorder="1" applyAlignment="1">
      <alignment horizontal="left" vertical="top"/>
    </xf>
    <xf numFmtId="0" fontId="33" fillId="0" borderId="25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3" fillId="0" borderId="0" xfId="0" applyFont="1" applyBorder="1"/>
    <xf numFmtId="0" fontId="33" fillId="0" borderId="0" xfId="0" applyFont="1" applyBorder="1" applyAlignment="1">
      <alignment horizontal="center"/>
    </xf>
    <xf numFmtId="0" fontId="33" fillId="0" borderId="0" xfId="0" applyFont="1" applyBorder="1" applyAlignment="1">
      <alignment horizontal="right"/>
    </xf>
    <xf numFmtId="0" fontId="33" fillId="0" borderId="24" xfId="0" applyFont="1" applyBorder="1"/>
    <xf numFmtId="0" fontId="32" fillId="0" borderId="25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/>
    <xf numFmtId="0" fontId="32" fillId="0" borderId="24" xfId="0" applyFont="1" applyBorder="1"/>
    <xf numFmtId="0" fontId="35" fillId="0" borderId="25" xfId="0" applyFont="1" applyBorder="1"/>
    <xf numFmtId="0" fontId="36" fillId="0" borderId="25" xfId="0" applyFont="1" applyBorder="1" applyAlignment="1">
      <alignment horizontal="left" vertical="top"/>
    </xf>
    <xf numFmtId="0" fontId="36" fillId="0" borderId="0" xfId="0" applyFont="1" applyBorder="1" applyAlignment="1">
      <alignment horizontal="left" vertical="top"/>
    </xf>
    <xf numFmtId="0" fontId="36" fillId="0" borderId="24" xfId="0" applyFont="1" applyBorder="1" applyAlignment="1">
      <alignment horizontal="left" vertical="top"/>
    </xf>
    <xf numFmtId="0" fontId="36" fillId="0" borderId="25" xfId="0" applyFont="1" applyBorder="1" applyAlignment="1">
      <alignment horizontal="left" vertical="top" wrapText="1"/>
    </xf>
    <xf numFmtId="0" fontId="36" fillId="0" borderId="0" xfId="0" applyFont="1" applyBorder="1" applyAlignment="1">
      <alignment horizontal="left" vertical="top" wrapText="1"/>
    </xf>
    <xf numFmtId="0" fontId="36" fillId="0" borderId="24" xfId="0" applyFont="1" applyBorder="1" applyAlignment="1">
      <alignment horizontal="left" vertical="top" wrapText="1"/>
    </xf>
    <xf numFmtId="0" fontId="36" fillId="0" borderId="23" xfId="0" applyFont="1" applyBorder="1" applyAlignment="1">
      <alignment horizontal="left" vertical="top"/>
    </xf>
    <xf numFmtId="0" fontId="36" fillId="0" borderId="22" xfId="0" applyFont="1" applyBorder="1" applyAlignment="1">
      <alignment horizontal="left" vertical="top"/>
    </xf>
    <xf numFmtId="0" fontId="36" fillId="0" borderId="21" xfId="0" applyFont="1" applyBorder="1" applyAlignment="1">
      <alignment horizontal="left" vertical="top"/>
    </xf>
    <xf numFmtId="0" fontId="37" fillId="0" borderId="14" xfId="0" applyFont="1" applyBorder="1" applyAlignment="1">
      <alignment horizontal="center" vertical="center"/>
    </xf>
    <xf numFmtId="0" fontId="37" fillId="0" borderId="14" xfId="0" applyFont="1" applyBorder="1" applyAlignment="1">
      <alignment wrapText="1"/>
    </xf>
    <xf numFmtId="0" fontId="37" fillId="0" borderId="14" xfId="0" applyFont="1" applyBorder="1" applyAlignment="1">
      <alignment horizontal="center"/>
    </xf>
    <xf numFmtId="0" fontId="37" fillId="0" borderId="14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right" vertical="center"/>
    </xf>
    <xf numFmtId="164" fontId="37" fillId="0" borderId="14" xfId="0" applyNumberFormat="1" applyFont="1" applyBorder="1" applyAlignment="1">
      <alignment horizontal="right" vertical="center"/>
    </xf>
    <xf numFmtId="0" fontId="37" fillId="0" borderId="14" xfId="0" applyFont="1" applyBorder="1" applyAlignment="1">
      <alignment horizontal="right" vertical="center" wrapText="1"/>
    </xf>
    <xf numFmtId="164" fontId="37" fillId="0" borderId="14" xfId="0" applyNumberFormat="1" applyFont="1" applyBorder="1" applyAlignment="1">
      <alignment horizontal="right" vertical="center" wrapText="1"/>
    </xf>
    <xf numFmtId="164" fontId="37" fillId="0" borderId="14" xfId="0" applyNumberFormat="1" applyFont="1" applyBorder="1" applyAlignment="1">
      <alignment horizontal="right" vertical="center"/>
    </xf>
    <xf numFmtId="0" fontId="37" fillId="0" borderId="14" xfId="0" applyFont="1" applyBorder="1" applyAlignment="1">
      <alignment horizontal="right" vertical="center"/>
    </xf>
    <xf numFmtId="0" fontId="37" fillId="0" borderId="15" xfId="0" applyFont="1" applyBorder="1" applyAlignment="1">
      <alignment horizontal="center" vertical="center" wrapText="1"/>
    </xf>
    <xf numFmtId="0" fontId="37" fillId="0" borderId="39" xfId="0" applyFont="1" applyBorder="1" applyAlignment="1">
      <alignment horizontal="center" vertical="center" wrapText="1"/>
    </xf>
    <xf numFmtId="0" fontId="37" fillId="0" borderId="16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16" xfId="0" applyFont="1" applyBorder="1" applyAlignment="1">
      <alignment horizontal="center" vertical="center"/>
    </xf>
    <xf numFmtId="1" fontId="37" fillId="0" borderId="14" xfId="0" applyNumberFormat="1" applyFont="1" applyBorder="1" applyAlignment="1">
      <alignment horizontal="right" vertical="center"/>
    </xf>
    <xf numFmtId="0" fontId="38" fillId="0" borderId="17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0" borderId="45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38" fillId="0" borderId="14" xfId="0" applyFont="1" applyBorder="1" applyAlignment="1">
      <alignment horizontal="left" vertical="center" wrapText="1"/>
    </xf>
    <xf numFmtId="0" fontId="38" fillId="0" borderId="14" xfId="0" applyFont="1" applyBorder="1" applyAlignment="1">
      <alignment horizontal="left" vertical="center"/>
    </xf>
    <xf numFmtId="0" fontId="38" fillId="0" borderId="14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left" vertical="center"/>
    </xf>
    <xf numFmtId="0" fontId="38" fillId="0" borderId="15" xfId="0" applyFont="1" applyBorder="1" applyAlignment="1">
      <alignment horizontal="left" vertical="center"/>
    </xf>
    <xf numFmtId="0" fontId="38" fillId="0" borderId="39" xfId="0" applyFont="1" applyBorder="1" applyAlignment="1">
      <alignment horizontal="left" vertical="center"/>
    </xf>
    <xf numFmtId="0" fontId="38" fillId="0" borderId="16" xfId="0" applyFont="1" applyBorder="1" applyAlignment="1">
      <alignment horizontal="left" vertical="center"/>
    </xf>
    <xf numFmtId="0" fontId="39" fillId="0" borderId="13" xfId="0" applyFont="1" applyBorder="1" applyAlignment="1">
      <alignment horizontal="center" vertical="center" wrapText="1"/>
    </xf>
    <xf numFmtId="0" fontId="40" fillId="0" borderId="44" xfId="0" applyFont="1" applyBorder="1" applyAlignment="1">
      <alignment horizontal="center" vertical="center" wrapText="1"/>
    </xf>
    <xf numFmtId="0" fontId="40" fillId="0" borderId="45" xfId="0" applyFont="1" applyBorder="1" applyAlignment="1">
      <alignment horizontal="center" vertical="center" wrapText="1"/>
    </xf>
    <xf numFmtId="0" fontId="40" fillId="0" borderId="46" xfId="0" applyFont="1" applyBorder="1" applyAlignment="1">
      <alignment horizontal="center" vertical="center" wrapText="1"/>
    </xf>
    <xf numFmtId="0" fontId="39" fillId="0" borderId="44" xfId="0" applyFont="1" applyBorder="1" applyAlignment="1">
      <alignment horizontal="center" vertical="center" wrapText="1"/>
    </xf>
    <xf numFmtId="0" fontId="39" fillId="0" borderId="47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cs-CZ" sz="160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Pevnost</a:t>
            </a:r>
          </a:p>
        </c:rich>
      </c:tx>
      <c:layout>
        <c:manualLayout>
          <c:xMode val="edge"/>
          <c:yMode val="edge"/>
          <c:x val="0.46831450094161958"/>
          <c:y val="3.984857541342896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3908741418788341E-2"/>
          <c:y val="0.19343247323440721"/>
          <c:w val="0.86553018372703416"/>
          <c:h val="0.72088764946048411"/>
        </c:manualLayout>
      </c:layout>
      <c:lineChart>
        <c:grouping val="standard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accent1"/>
              </a:solidFill>
              <a:ln w="63500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4-08F7-934B-B5F1-555187B32BED}"/>
              </c:ext>
            </c:extLst>
          </c:dPt>
          <c:dPt>
            <c:idx val="1"/>
            <c:marker>
              <c:spPr>
                <a:solidFill>
                  <a:schemeClr val="accent1"/>
                </a:solidFill>
                <a:ln w="63500">
                  <a:noFill/>
                </a:ln>
                <a:effectLst/>
              </c:spPr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8F7-934B-B5F1-555187B32BED}"/>
              </c:ext>
            </c:extLst>
          </c:dPt>
          <c:dPt>
            <c:idx val="2"/>
            <c:marker>
              <c:symbol val="circle"/>
              <c:size val="5"/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D3AC-3346-9D65-95164AE46BFA}"/>
              </c:ext>
            </c:extLst>
          </c:dPt>
          <c:dPt>
            <c:idx val="3"/>
            <c:marker>
              <c:symbol val="circle"/>
              <c:size val="5"/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D3AC-3346-9D65-95164AE46BFA}"/>
              </c:ext>
            </c:extLst>
          </c:dPt>
          <c:errBars>
            <c:errDir val="y"/>
            <c:errBarType val="both"/>
            <c:errValType val="cust"/>
            <c:noEndCap val="0"/>
            <c:plus>
              <c:numRef>
                <c:f>výpočty!$F$57:$F$60</c:f>
                <c:numCache>
                  <c:formatCode>General</c:formatCode>
                  <c:ptCount val="4"/>
                  <c:pt idx="0">
                    <c:v>22.311180000000007</c:v>
                  </c:pt>
                  <c:pt idx="1">
                    <c:v>7.0082000000000164</c:v>
                  </c:pt>
                  <c:pt idx="2">
                    <c:v>11.171280000000024</c:v>
                  </c:pt>
                  <c:pt idx="3">
                    <c:v>2.1704500000000024</c:v>
                  </c:pt>
                </c:numCache>
              </c:numRef>
            </c:plus>
            <c:minus>
              <c:numRef>
                <c:f>výpočty!$F$57:$F$60</c:f>
                <c:numCache>
                  <c:formatCode>General</c:formatCode>
                  <c:ptCount val="4"/>
                  <c:pt idx="0">
                    <c:v>22.311180000000007</c:v>
                  </c:pt>
                  <c:pt idx="1">
                    <c:v>7.0082000000000164</c:v>
                  </c:pt>
                  <c:pt idx="2">
                    <c:v>11.171280000000024</c:v>
                  </c:pt>
                  <c:pt idx="3">
                    <c:v>2.1704500000000024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výpočty!$C$57:$C$60</c:f>
              <c:strCache>
                <c:ptCount val="4"/>
                <c:pt idx="0">
                  <c:v>ZJ sloupek</c:v>
                </c:pt>
                <c:pt idx="1">
                  <c:v>ZJ řádek</c:v>
                </c:pt>
                <c:pt idx="2">
                  <c:v>ZO sloupek</c:v>
                </c:pt>
                <c:pt idx="3">
                  <c:v>ZO řádek</c:v>
                </c:pt>
              </c:strCache>
            </c:strRef>
          </c:cat>
          <c:val>
            <c:numRef>
              <c:f>výpočty!$D$57:$D$60</c:f>
              <c:numCache>
                <c:formatCode>0.0</c:formatCode>
                <c:ptCount val="4"/>
                <c:pt idx="0">
                  <c:v>171.22</c:v>
                </c:pt>
                <c:pt idx="1">
                  <c:v>127.41</c:v>
                </c:pt>
                <c:pt idx="2">
                  <c:v>317.55</c:v>
                </c:pt>
                <c:pt idx="3">
                  <c:v>108.97499999999999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FFD-4625-960C-86B032DD6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052864"/>
        <c:axId val="214054400"/>
      </c:lineChart>
      <c:catAx>
        <c:axId val="21405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214054400"/>
        <c:crosses val="autoZero"/>
        <c:auto val="1"/>
        <c:lblAlgn val="ctr"/>
        <c:lblOffset val="100"/>
        <c:noMultiLvlLbl val="0"/>
      </c:catAx>
      <c:valAx>
        <c:axId val="2140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20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Pevnost [N]</a:t>
                </a:r>
              </a:p>
            </c:rich>
          </c:tx>
          <c:layout>
            <c:manualLayout>
              <c:xMode val="edge"/>
              <c:yMode val="edge"/>
              <c:x val="1.1044588292234817E-2"/>
              <c:y val="0.4375956906551194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21405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cs-CZ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'pomerne protazeni'!$B$4</c:f>
              <c:strCache>
                <c:ptCount val="1"/>
                <c:pt idx="0">
                  <c:v>ZJ řadek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1"/>
              </a:solidFill>
            </c:spPr>
          </c:dPt>
          <c:dPt>
            <c:idx val="3"/>
            <c:invertIfNegative val="0"/>
            <c:bubble3D val="0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</a:ln>
            </c:spPr>
          </c:dPt>
          <c:dLbls>
            <c:dLbl>
              <c:idx val="0"/>
              <c:layout>
                <c:manualLayout>
                  <c:x val="0"/>
                  <c:y val="-0.1420206328375619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8.242016622922135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0.31525408282298045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8.242016622922135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'pomerne protazeni'!$B$4</c:f>
              <c:strCache>
                <c:ptCount val="1"/>
                <c:pt idx="0">
                  <c:v>ZJ řadek</c:v>
                </c:pt>
              </c:strCache>
            </c:strRef>
          </c:cat>
          <c:val>
            <c:numRef>
              <c:f>'pomerne protazeni'!$C$4:$C$7</c:f>
              <c:numCache>
                <c:formatCode>General</c:formatCode>
                <c:ptCount val="4"/>
                <c:pt idx="0">
                  <c:v>70</c:v>
                </c:pt>
                <c:pt idx="1">
                  <c:v>30</c:v>
                </c:pt>
                <c:pt idx="2">
                  <c:v>175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'pomerne protazeni'!$B$5</c:f>
              <c:strCache>
                <c:ptCount val="1"/>
                <c:pt idx="0">
                  <c:v>ZJ sloupek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'pomerne protazeni'!$B$4</c:f>
              <c:strCache>
                <c:ptCount val="1"/>
                <c:pt idx="0">
                  <c:v>ZJ řadek</c:v>
                </c:pt>
              </c:strCache>
            </c:strRef>
          </c:cat>
          <c:val>
            <c:numRef>
              <c:f>'pomerne protazeni'!$D$4:$D$7</c:f>
              <c:numCache>
                <c:formatCode>General</c:formatCode>
                <c:ptCount val="4"/>
              </c:numCache>
            </c:numRef>
          </c:val>
        </c:ser>
        <c:ser>
          <c:idx val="2"/>
          <c:order val="2"/>
          <c:tx>
            <c:strRef>
              <c:f>'pomerne protazeni'!$B$6</c:f>
              <c:strCache>
                <c:ptCount val="1"/>
                <c:pt idx="0">
                  <c:v>ZO řadek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'pomerne protazeni'!$B$4</c:f>
              <c:strCache>
                <c:ptCount val="1"/>
                <c:pt idx="0">
                  <c:v>ZJ řadek</c:v>
                </c:pt>
              </c:strCache>
            </c:strRef>
          </c:cat>
          <c:val>
            <c:numRef>
              <c:f>'pomerne protazeni'!$E$4:$E$7</c:f>
              <c:numCache>
                <c:formatCode>General</c:formatCode>
                <c:ptCount val="4"/>
              </c:numCache>
            </c:numRef>
          </c:val>
        </c:ser>
        <c:ser>
          <c:idx val="3"/>
          <c:order val="3"/>
          <c:tx>
            <c:strRef>
              <c:f>'pomerne protazeni'!$B$7</c:f>
              <c:strCache>
                <c:ptCount val="1"/>
                <c:pt idx="0">
                  <c:v>ZO sloupek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14456192"/>
        <c:axId val="214457728"/>
      </c:barChart>
      <c:catAx>
        <c:axId val="2144561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4457728"/>
        <c:crosses val="autoZero"/>
        <c:auto val="1"/>
        <c:lblAlgn val="ctr"/>
        <c:lblOffset val="100"/>
        <c:noMultiLvlLbl val="0"/>
      </c:catAx>
      <c:valAx>
        <c:axId val="21445772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6350">
            <a:noFill/>
          </a:ln>
        </c:spPr>
        <c:crossAx val="2144561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6481204217457631E-2"/>
          <c:y val="0.88850503062117236"/>
          <c:w val="0.9635187957825424"/>
          <c:h val="8.371719160104987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Prota</a:t>
            </a:r>
            <a:r>
              <a:rPr lang="cs-CZ" sz="1400"/>
              <a:t>žení</a:t>
            </a:r>
            <a:r>
              <a:rPr lang="cs-CZ" sz="1400" baseline="0"/>
              <a:t> </a:t>
            </a:r>
            <a:r>
              <a:rPr lang="en-US" sz="1400" baseline="0"/>
              <a:t>[%]</a:t>
            </a:r>
            <a:endParaRPr lang="cs-CZ" sz="1400" baseline="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3002405949256337E-2"/>
          <c:y val="0.14903944298629337"/>
          <c:w val="0.87644203849518809"/>
          <c:h val="0.66491688538932636"/>
        </c:manualLayout>
      </c:layout>
      <c:barChart>
        <c:barDir val="col"/>
        <c:grouping val="clustered"/>
        <c:varyColors val="0"/>
        <c:ser>
          <c:idx val="0"/>
          <c:order val="0"/>
          <c:tx>
            <c:v>ZJ</c:v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KES!$B$14:$B$17</c:f>
              <c:strCache>
                <c:ptCount val="4"/>
                <c:pt idx="0">
                  <c:v>ZJ sloupek</c:v>
                </c:pt>
                <c:pt idx="1">
                  <c:v>ZJ řádek</c:v>
                </c:pt>
                <c:pt idx="2">
                  <c:v>ZO sloupek</c:v>
                </c:pt>
                <c:pt idx="3">
                  <c:v>ZO řádek</c:v>
                </c:pt>
              </c:strCache>
            </c:strRef>
          </c:cat>
          <c:val>
            <c:numRef>
              <c:f>KES!$D$14:$D$15</c:f>
              <c:numCache>
                <c:formatCode>0.0</c:formatCode>
                <c:ptCount val="2"/>
                <c:pt idx="0">
                  <c:v>10.199999999999999</c:v>
                </c:pt>
                <c:pt idx="1">
                  <c:v>22.6</c:v>
                </c:pt>
              </c:numCache>
            </c:numRef>
          </c:val>
        </c:ser>
        <c:ser>
          <c:idx val="1"/>
          <c:order val="1"/>
          <c:tx>
            <c:v>ZO</c:v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KES!$D$16:$D$17</c:f>
              <c:numCache>
                <c:formatCode>General</c:formatCode>
                <c:ptCount val="2"/>
                <c:pt idx="0" formatCode="0.0">
                  <c:v>14.75</c:v>
                </c:pt>
                <c:pt idx="1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4497536"/>
        <c:axId val="235282432"/>
      </c:barChart>
      <c:catAx>
        <c:axId val="214497536"/>
        <c:scaling>
          <c:orientation val="minMax"/>
        </c:scaling>
        <c:delete val="1"/>
        <c:axPos val="b"/>
        <c:majorTickMark val="none"/>
        <c:minorTickMark val="none"/>
        <c:tickLblPos val="nextTo"/>
        <c:crossAx val="235282432"/>
        <c:crosses val="autoZero"/>
        <c:auto val="1"/>
        <c:lblAlgn val="ctr"/>
        <c:lblOffset val="100"/>
        <c:noMultiLvlLbl val="0"/>
      </c:catAx>
      <c:valAx>
        <c:axId val="235282432"/>
        <c:scaling>
          <c:orientation val="minMax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6350">
            <a:noFill/>
          </a:ln>
        </c:spPr>
        <c:crossAx val="2144975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s-CZ"/>
              <a:t>Závislost % tažnosti Testometric a KES</a:t>
            </a:r>
            <a:endParaRPr lang="ru-RU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trendlineType val="linear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analyza!$D$7:$D$10</c:f>
              <c:numCache>
                <c:formatCode>0.0</c:formatCode>
                <c:ptCount val="4"/>
                <c:pt idx="0">
                  <c:v>15.8</c:v>
                </c:pt>
                <c:pt idx="1">
                  <c:v>45</c:v>
                </c:pt>
                <c:pt idx="2">
                  <c:v>17.899999999999999</c:v>
                </c:pt>
                <c:pt idx="3">
                  <c:v>81.400000000000006</c:v>
                </c:pt>
              </c:numCache>
            </c:numRef>
          </c:xVal>
          <c:yVal>
            <c:numRef>
              <c:f>analyza!$E$7:$E$10</c:f>
              <c:numCache>
                <c:formatCode>0.0</c:formatCode>
                <c:ptCount val="4"/>
                <c:pt idx="0">
                  <c:v>10.199999999999999</c:v>
                </c:pt>
                <c:pt idx="1">
                  <c:v>22.6</c:v>
                </c:pt>
                <c:pt idx="2">
                  <c:v>14.75</c:v>
                </c:pt>
                <c:pt idx="3" formatCode="General">
                  <c:v>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82944"/>
        <c:axId val="246097408"/>
      </c:scatterChart>
      <c:valAx>
        <c:axId val="246082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Testometric</a:t>
                </a:r>
                <a:endParaRPr lang="ru-RU"/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46097408"/>
        <c:crosses val="autoZero"/>
        <c:crossBetween val="midCat"/>
      </c:valAx>
      <c:valAx>
        <c:axId val="246097408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KES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460829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12100</xdr:colOff>
      <xdr:row>44</xdr:row>
      <xdr:rowOff>15845</xdr:rowOff>
    </xdr:from>
    <xdr:to>
      <xdr:col>22</xdr:col>
      <xdr:colOff>176141</xdr:colOff>
      <xdr:row>67</xdr:row>
      <xdr:rowOff>133385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xmlns="" id="{3E175D06-58AF-4BF1-A529-DBADC236FE69}"/>
            </a:ext>
            <a:ext uri="{147F2762-F138-4A5C-976F-8EAC2B608ADB}">
              <a16:predDERef xmlns:a16="http://schemas.microsoft.com/office/drawing/2014/main" xmlns="" pred="{4C6F2472-735A-9C1D-A803-9FF9B2122E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5</xdr:row>
      <xdr:rowOff>142875</xdr:rowOff>
    </xdr:from>
    <xdr:to>
      <xdr:col>14</xdr:col>
      <xdr:colOff>161925</xdr:colOff>
      <xdr:row>20</xdr:row>
      <xdr:rowOff>28575</xdr:rowOff>
    </xdr:to>
    <xdr:graphicFrame macro="">
      <xdr:nvGraphicFramePr>
        <xdr:cNvPr id="5" name="Диаграмма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12680</xdr:colOff>
      <xdr:row>6</xdr:row>
      <xdr:rowOff>77390</xdr:rowOff>
    </xdr:from>
    <xdr:to>
      <xdr:col>12</xdr:col>
      <xdr:colOff>182217</xdr:colOff>
      <xdr:row>8</xdr:row>
      <xdr:rowOff>17859</xdr:rowOff>
    </xdr:to>
    <xdr:sp macro="" textlink="">
      <xdr:nvSpPr>
        <xdr:cNvPr id="7" name="TextBox 6"/>
        <xdr:cNvSpPr txBox="1"/>
      </xdr:nvSpPr>
      <xdr:spPr>
        <a:xfrm>
          <a:off x="5528897" y="1220390"/>
          <a:ext cx="2008277" cy="321469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Počásteční prodloužení </a:t>
          </a:r>
          <a:r>
            <a:rPr lang="cs-CZ" sz="1200" b="1" i="0" u="none" strike="noStrike">
              <a:solidFill>
                <a:schemeClr val="dk1"/>
              </a:solidFill>
              <a:effectLst/>
              <a:latin typeface="Times New Roman" pitchFamily="18" charset="0"/>
              <a:ea typeface="+mn-ea"/>
              <a:cs typeface="Times New Roman" pitchFamily="18" charset="0"/>
            </a:rPr>
            <a:t>[%]</a:t>
          </a:r>
          <a:r>
            <a:rPr lang="cs-CZ" sz="1200" b="1">
              <a:latin typeface="Times New Roman" pitchFamily="18" charset="0"/>
              <a:cs typeface="Times New Roman" pitchFamily="18" charset="0"/>
            </a:rPr>
            <a:t> </a:t>
          </a:r>
          <a:endParaRPr lang="ru-RU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781050</xdr:colOff>
      <xdr:row>7</xdr:row>
      <xdr:rowOff>85725</xdr:rowOff>
    </xdr:from>
    <xdr:to>
      <xdr:col>10</xdr:col>
      <xdr:colOff>485775</xdr:colOff>
      <xdr:row>20</xdr:row>
      <xdr:rowOff>47625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0.7875</cdr:x>
      <cdr:y>0.16667</cdr:y>
    </cdr:from>
    <cdr:to>
      <cdr:x>0.88542</cdr:x>
      <cdr:y>0.33681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00450" y="457200"/>
          <a:ext cx="447675" cy="466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ru-RU" sz="1100">
              <a:solidFill>
                <a:sysClr val="windowText" lastClr="000000"/>
              </a:solidFill>
            </a:rPr>
            <a:t>&gt;</a:t>
          </a:r>
        </a:p>
      </cdr:txBody>
    </cdr:sp>
  </cdr:relSizeAnchor>
  <cdr:relSizeAnchor xmlns:cdr="http://schemas.openxmlformats.org/drawingml/2006/chartDrawing">
    <cdr:from>
      <cdr:x>0.7875</cdr:x>
      <cdr:y>0.16667</cdr:y>
    </cdr:from>
    <cdr:to>
      <cdr:x>0.88542</cdr:x>
      <cdr:y>0.33681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600450" y="457200"/>
          <a:ext cx="447675" cy="466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ru-RU" sz="1100">
              <a:solidFill>
                <a:sysClr val="windowText" lastClr="000000"/>
              </a:solidFill>
            </a:rPr>
            <a:t>&gt;</a:t>
          </a:r>
        </a:p>
      </cdr:txBody>
    </cdr:sp>
  </cdr:relSizeAnchor>
  <cdr:relSizeAnchor xmlns:cdr="http://schemas.openxmlformats.org/drawingml/2006/chartDrawing">
    <cdr:from>
      <cdr:x>0.24167</cdr:x>
      <cdr:y>0.84028</cdr:y>
    </cdr:from>
    <cdr:to>
      <cdr:x>0.39375</cdr:x>
      <cdr:y>0.9618</cdr:y>
    </cdr:to>
    <cdr:sp macro="" textlink="">
      <cdr:nvSpPr>
        <cdr:cNvPr id="5" name="TextBox 2"/>
        <cdr:cNvSpPr txBox="1"/>
      </cdr:nvSpPr>
      <cdr:spPr>
        <a:xfrm xmlns:a="http://schemas.openxmlformats.org/drawingml/2006/main">
          <a:off x="1104915" y="2305062"/>
          <a:ext cx="695310" cy="3333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sloupek</a:t>
          </a:r>
        </a:p>
      </cdr:txBody>
    </cdr:sp>
  </cdr:relSizeAnchor>
  <cdr:relSizeAnchor xmlns:cdr="http://schemas.openxmlformats.org/drawingml/2006/chartDrawing">
    <cdr:from>
      <cdr:x>0.69653</cdr:x>
      <cdr:y>0.83449</cdr:y>
    </cdr:from>
    <cdr:to>
      <cdr:x>0.84861</cdr:x>
      <cdr:y>0.95601</cdr:y>
    </cdr:to>
    <cdr:sp macro="" textlink="">
      <cdr:nvSpPr>
        <cdr:cNvPr id="6" name="TextBox 2"/>
        <cdr:cNvSpPr txBox="1"/>
      </cdr:nvSpPr>
      <cdr:spPr>
        <a:xfrm xmlns:a="http://schemas.openxmlformats.org/drawingml/2006/main">
          <a:off x="3184525" y="2289175"/>
          <a:ext cx="695310" cy="3333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cs-CZ" sz="1100"/>
            <a:t>řádek</a:t>
          </a:r>
          <a:endParaRPr lang="en-US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2</xdr:row>
      <xdr:rowOff>142875</xdr:rowOff>
    </xdr:from>
    <xdr:to>
      <xdr:col>13</xdr:col>
      <xdr:colOff>390525</xdr:colOff>
      <xdr:row>16</xdr:row>
      <xdr:rowOff>180975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W252"/>
  <sheetViews>
    <sheetView zoomScale="85" zoomScaleNormal="85" workbookViewId="0">
      <selection activeCell="W14" sqref="W14"/>
    </sheetView>
  </sheetViews>
  <sheetFormatPr defaultRowHeight="15"/>
  <cols>
    <col min="4" max="4" width="13.7109375" customWidth="1"/>
    <col min="5" max="5" width="13" customWidth="1"/>
    <col min="6" max="6" width="11.7109375" customWidth="1"/>
    <col min="8" max="8" width="13.28515625" customWidth="1"/>
    <col min="9" max="9" width="14.7109375" customWidth="1"/>
    <col min="10" max="10" width="12.5703125" customWidth="1"/>
    <col min="12" max="12" width="15.5703125" customWidth="1"/>
    <col min="13" max="13" width="15.28515625" customWidth="1"/>
    <col min="14" max="14" width="12.140625" customWidth="1"/>
    <col min="16" max="16" width="12.28515625" customWidth="1"/>
    <col min="17" max="17" width="14.140625" customWidth="1"/>
    <col min="18" max="18" width="12.5703125" customWidth="1"/>
    <col min="22" max="22" width="15" customWidth="1"/>
    <col min="23" max="23" width="15.140625" customWidth="1"/>
    <col min="24" max="24" width="11.5703125" customWidth="1"/>
  </cols>
  <sheetData>
    <row r="7" spans="4:23" ht="15.75">
      <c r="D7" s="152" t="s">
        <v>117</v>
      </c>
      <c r="E7" s="152"/>
      <c r="H7" s="152" t="s">
        <v>116</v>
      </c>
      <c r="I7" s="152"/>
      <c r="L7" s="152" t="s">
        <v>119</v>
      </c>
      <c r="M7" s="152"/>
      <c r="P7" s="152" t="s">
        <v>118</v>
      </c>
      <c r="Q7" s="152"/>
      <c r="U7" s="65"/>
      <c r="V7" s="75" t="s">
        <v>126</v>
      </c>
      <c r="W7" s="76" t="s">
        <v>121</v>
      </c>
    </row>
    <row r="8" spans="4:23" ht="15.75">
      <c r="D8" s="152"/>
      <c r="E8" s="152"/>
      <c r="H8" s="152"/>
      <c r="I8" s="152"/>
      <c r="L8" s="152"/>
      <c r="M8" s="152"/>
      <c r="P8" s="152"/>
      <c r="Q8" s="152"/>
      <c r="U8" s="74" t="s">
        <v>116</v>
      </c>
      <c r="V8" s="67">
        <v>24.62</v>
      </c>
      <c r="W8" s="77">
        <f>(H10/200)*100</f>
        <v>15.787499999999998</v>
      </c>
    </row>
    <row r="9" spans="4:23" ht="38.25">
      <c r="D9" s="72" t="s">
        <v>127</v>
      </c>
      <c r="E9" s="72" t="s">
        <v>128</v>
      </c>
      <c r="F9" s="59" t="s">
        <v>121</v>
      </c>
      <c r="H9" s="72" t="s">
        <v>127</v>
      </c>
      <c r="I9" s="72" t="s">
        <v>128</v>
      </c>
      <c r="J9" s="59" t="s">
        <v>121</v>
      </c>
      <c r="L9" s="72" t="s">
        <v>127</v>
      </c>
      <c r="M9" s="72" t="s">
        <v>128</v>
      </c>
      <c r="N9" s="59" t="s">
        <v>121</v>
      </c>
      <c r="P9" s="72" t="s">
        <v>127</v>
      </c>
      <c r="Q9" s="72" t="s">
        <v>128</v>
      </c>
      <c r="R9" s="59" t="s">
        <v>121</v>
      </c>
      <c r="U9" s="74" t="s">
        <v>117</v>
      </c>
      <c r="V9" s="67">
        <v>24.51</v>
      </c>
      <c r="W9" s="67">
        <f>(D10/200)*100</f>
        <v>45.048999999999999</v>
      </c>
    </row>
    <row r="10" spans="4:23" ht="15.75">
      <c r="D10">
        <v>90.097999999999999</v>
      </c>
      <c r="E10">
        <v>24.51</v>
      </c>
      <c r="F10">
        <f>(D10/200)*100</f>
        <v>45.048999999999999</v>
      </c>
      <c r="H10">
        <v>31.574999999999999</v>
      </c>
      <c r="I10">
        <v>24.62</v>
      </c>
      <c r="J10">
        <f>(H10/200)*100</f>
        <v>15.787499999999998</v>
      </c>
      <c r="L10">
        <v>162.81100000000001</v>
      </c>
      <c r="M10">
        <v>24.48</v>
      </c>
      <c r="N10">
        <f>(L10/200)*100</f>
        <v>81.405500000000004</v>
      </c>
      <c r="P10">
        <v>35.796999999999997</v>
      </c>
      <c r="Q10">
        <v>24.65</v>
      </c>
      <c r="R10">
        <f>(P10/200)*100</f>
        <v>17.898499999999999</v>
      </c>
      <c r="U10" s="74" t="s">
        <v>118</v>
      </c>
      <c r="V10" s="67">
        <v>24.65</v>
      </c>
      <c r="W10" s="67">
        <f>(P10/200)*100</f>
        <v>17.898499999999999</v>
      </c>
    </row>
    <row r="11" spans="4:23" ht="15.75">
      <c r="D11">
        <v>90.423000000000002</v>
      </c>
      <c r="E11">
        <v>24.93</v>
      </c>
      <c r="F11">
        <f>(D11/200)*100</f>
        <v>45.211500000000001</v>
      </c>
      <c r="H11">
        <v>31.683</v>
      </c>
      <c r="I11">
        <v>24.96</v>
      </c>
      <c r="J11">
        <f>(H11/200)*100</f>
        <v>15.8415</v>
      </c>
      <c r="L11">
        <v>163.298</v>
      </c>
      <c r="M11">
        <v>24.96</v>
      </c>
      <c r="N11">
        <f>(L11/200)*100</f>
        <v>81.649000000000001</v>
      </c>
      <c r="P11">
        <v>35.848999999999997</v>
      </c>
      <c r="Q11">
        <v>24.7</v>
      </c>
      <c r="R11">
        <f>(P11/200)*100</f>
        <v>17.924499999999998</v>
      </c>
      <c r="U11" s="74" t="s">
        <v>119</v>
      </c>
      <c r="V11" s="67">
        <v>24.48</v>
      </c>
      <c r="W11" s="73">
        <f>(L10/200)*100</f>
        <v>81.405500000000004</v>
      </c>
    </row>
    <row r="12" spans="4:23">
      <c r="D12">
        <v>90.474000000000004</v>
      </c>
      <c r="E12">
        <v>25.1</v>
      </c>
      <c r="F12">
        <f>(D12/200)*100</f>
        <v>45.237000000000002</v>
      </c>
      <c r="H12">
        <v>31.736999999999998</v>
      </c>
      <c r="I12">
        <v>25.04</v>
      </c>
      <c r="J12">
        <f t="shared" ref="J12:J71" si="0">(H12/200)*100</f>
        <v>15.868499999999999</v>
      </c>
      <c r="L12">
        <v>163.35499999999999</v>
      </c>
      <c r="M12">
        <v>25.07</v>
      </c>
      <c r="N12">
        <f t="shared" ref="N12:N75" si="1">(L12/200)*100</f>
        <v>81.677499999999995</v>
      </c>
      <c r="P12">
        <v>35.956000000000003</v>
      </c>
      <c r="Q12">
        <v>25.11</v>
      </c>
      <c r="R12">
        <f t="shared" ref="R12:R68" si="2">(P12/200)*100</f>
        <v>17.978000000000002</v>
      </c>
    </row>
    <row r="13" spans="4:23" ht="15.75">
      <c r="D13">
        <v>90.582999999999998</v>
      </c>
      <c r="E13">
        <v>25.22</v>
      </c>
      <c r="F13">
        <f t="shared" ref="F13:F76" si="3">(D13/200)*100</f>
        <v>45.291499999999999</v>
      </c>
      <c r="H13">
        <v>31.792999999999999</v>
      </c>
      <c r="I13">
        <v>25.3</v>
      </c>
      <c r="J13">
        <f t="shared" si="0"/>
        <v>15.8965</v>
      </c>
      <c r="L13">
        <v>163.459</v>
      </c>
      <c r="M13">
        <v>25.04</v>
      </c>
      <c r="N13">
        <f t="shared" si="1"/>
        <v>81.729500000000002</v>
      </c>
      <c r="P13">
        <v>36.012999999999998</v>
      </c>
      <c r="Q13">
        <v>25.33</v>
      </c>
      <c r="R13">
        <f t="shared" si="2"/>
        <v>18.006499999999999</v>
      </c>
      <c r="U13" s="65"/>
      <c r="V13" s="69" t="s">
        <v>126</v>
      </c>
      <c r="W13" s="61" t="s">
        <v>129</v>
      </c>
    </row>
    <row r="14" spans="4:23" ht="15.75">
      <c r="D14">
        <v>90.638000000000005</v>
      </c>
      <c r="E14">
        <v>25.23</v>
      </c>
      <c r="F14">
        <f t="shared" si="3"/>
        <v>45.319000000000003</v>
      </c>
      <c r="H14">
        <v>31.899000000000001</v>
      </c>
      <c r="I14">
        <v>25.58</v>
      </c>
      <c r="J14">
        <f t="shared" si="0"/>
        <v>15.9495</v>
      </c>
      <c r="L14">
        <v>163.51499999999999</v>
      </c>
      <c r="M14">
        <v>25.13</v>
      </c>
      <c r="N14">
        <f t="shared" si="1"/>
        <v>81.757499999999993</v>
      </c>
      <c r="P14">
        <v>36.064999999999998</v>
      </c>
      <c r="Q14">
        <v>25.5</v>
      </c>
      <c r="R14">
        <f>(P14/200)*100</f>
        <v>18.032499999999999</v>
      </c>
      <c r="U14" s="66" t="s">
        <v>116</v>
      </c>
      <c r="V14" s="65">
        <v>24.5</v>
      </c>
      <c r="W14" s="67">
        <v>10.199999999999999</v>
      </c>
    </row>
    <row r="15" spans="4:23" ht="15.75">
      <c r="D15">
        <v>90.69</v>
      </c>
      <c r="E15">
        <v>25.44</v>
      </c>
      <c r="F15">
        <f t="shared" si="3"/>
        <v>45.344999999999999</v>
      </c>
      <c r="H15">
        <v>31.952999999999999</v>
      </c>
      <c r="I15">
        <v>25.81</v>
      </c>
      <c r="J15">
        <f t="shared" si="0"/>
        <v>15.9765</v>
      </c>
      <c r="L15">
        <v>163.571</v>
      </c>
      <c r="M15">
        <v>25.16</v>
      </c>
      <c r="N15">
        <f t="shared" si="1"/>
        <v>81.785499999999999</v>
      </c>
      <c r="P15">
        <v>36.119</v>
      </c>
      <c r="Q15">
        <v>25.69</v>
      </c>
      <c r="R15">
        <f t="shared" si="2"/>
        <v>18.0595</v>
      </c>
      <c r="U15" s="66" t="s">
        <v>117</v>
      </c>
      <c r="V15" s="65">
        <v>24.5</v>
      </c>
      <c r="W15" s="67">
        <v>22.6</v>
      </c>
    </row>
    <row r="16" spans="4:23" ht="15.75">
      <c r="D16">
        <v>90.742999999999995</v>
      </c>
      <c r="E16">
        <v>25.41</v>
      </c>
      <c r="F16">
        <f t="shared" si="3"/>
        <v>45.371499999999997</v>
      </c>
      <c r="H16">
        <v>32.01</v>
      </c>
      <c r="I16">
        <v>26.06</v>
      </c>
      <c r="J16">
        <f t="shared" si="0"/>
        <v>16.004999999999999</v>
      </c>
      <c r="L16">
        <v>163.62299999999999</v>
      </c>
      <c r="M16">
        <v>25.26</v>
      </c>
      <c r="N16">
        <f t="shared" si="1"/>
        <v>81.811499999999995</v>
      </c>
      <c r="P16">
        <v>36.176000000000002</v>
      </c>
      <c r="Q16">
        <v>25.95</v>
      </c>
      <c r="R16">
        <f t="shared" si="2"/>
        <v>18.088000000000001</v>
      </c>
      <c r="U16" s="66" t="s">
        <v>118</v>
      </c>
      <c r="V16" s="65">
        <v>24.5</v>
      </c>
      <c r="W16" s="67">
        <v>14.75</v>
      </c>
    </row>
    <row r="17" spans="4:23" ht="15.75">
      <c r="D17">
        <v>90.801000000000002</v>
      </c>
      <c r="E17">
        <v>25.55</v>
      </c>
      <c r="F17">
        <f t="shared" si="3"/>
        <v>45.400500000000001</v>
      </c>
      <c r="H17">
        <v>32.063000000000002</v>
      </c>
      <c r="I17">
        <v>26.2</v>
      </c>
      <c r="J17">
        <f t="shared" si="0"/>
        <v>16.031500000000001</v>
      </c>
      <c r="L17">
        <v>163.67699999999999</v>
      </c>
      <c r="M17">
        <v>25.26</v>
      </c>
      <c r="N17">
        <f t="shared" si="1"/>
        <v>81.838499999999996</v>
      </c>
      <c r="P17">
        <v>36.229999999999997</v>
      </c>
      <c r="Q17">
        <v>26.06</v>
      </c>
      <c r="R17">
        <f t="shared" si="2"/>
        <v>18.114999999999998</v>
      </c>
      <c r="U17" s="66" t="s">
        <v>119</v>
      </c>
      <c r="V17" s="65">
        <v>24.5</v>
      </c>
      <c r="W17" s="68" t="s">
        <v>130</v>
      </c>
    </row>
    <row r="18" spans="4:23">
      <c r="D18">
        <v>90.906000000000006</v>
      </c>
      <c r="E18">
        <v>25.64</v>
      </c>
      <c r="F18">
        <f t="shared" si="3"/>
        <v>45.453000000000003</v>
      </c>
      <c r="H18">
        <v>32.116</v>
      </c>
      <c r="I18">
        <v>26.39</v>
      </c>
      <c r="J18">
        <f t="shared" si="0"/>
        <v>16.058</v>
      </c>
      <c r="L18">
        <v>163.78700000000001</v>
      </c>
      <c r="M18">
        <v>25.22</v>
      </c>
      <c r="N18">
        <f t="shared" si="1"/>
        <v>81.893500000000003</v>
      </c>
      <c r="P18">
        <v>36.281999999999996</v>
      </c>
      <c r="Q18">
        <v>26.34</v>
      </c>
      <c r="R18">
        <f t="shared" si="2"/>
        <v>18.140999999999998</v>
      </c>
    </row>
    <row r="19" spans="4:23">
      <c r="D19">
        <v>90.960999999999999</v>
      </c>
      <c r="E19">
        <v>25.74</v>
      </c>
      <c r="F19">
        <f t="shared" si="3"/>
        <v>45.480499999999999</v>
      </c>
      <c r="H19">
        <v>32.170999999999999</v>
      </c>
      <c r="I19">
        <v>26.57</v>
      </c>
      <c r="J19">
        <f t="shared" si="0"/>
        <v>16.0855</v>
      </c>
      <c r="L19">
        <v>163.84</v>
      </c>
      <c r="M19">
        <v>25.44</v>
      </c>
      <c r="N19">
        <f t="shared" si="1"/>
        <v>81.92</v>
      </c>
      <c r="P19">
        <v>36.337000000000003</v>
      </c>
      <c r="Q19">
        <v>26.48</v>
      </c>
      <c r="R19">
        <f t="shared" si="2"/>
        <v>18.168500000000002</v>
      </c>
    </row>
    <row r="20" spans="4:23">
      <c r="D20">
        <v>91.018000000000001</v>
      </c>
      <c r="E20">
        <v>25.83</v>
      </c>
      <c r="F20">
        <f t="shared" si="3"/>
        <v>45.509</v>
      </c>
      <c r="H20">
        <v>32.226999999999997</v>
      </c>
      <c r="I20">
        <v>26.8</v>
      </c>
      <c r="J20">
        <f t="shared" si="0"/>
        <v>16.113499999999998</v>
      </c>
      <c r="L20">
        <v>163.89400000000001</v>
      </c>
      <c r="M20">
        <v>25.49</v>
      </c>
      <c r="N20">
        <f t="shared" si="1"/>
        <v>81.947000000000003</v>
      </c>
      <c r="P20">
        <v>36.393999999999998</v>
      </c>
      <c r="Q20">
        <v>26.7</v>
      </c>
      <c r="R20">
        <f t="shared" si="2"/>
        <v>18.196999999999999</v>
      </c>
    </row>
    <row r="21" spans="4:23">
      <c r="D21">
        <v>91.070999999999998</v>
      </c>
      <c r="E21">
        <v>25.91</v>
      </c>
      <c r="F21">
        <f t="shared" si="3"/>
        <v>45.535499999999999</v>
      </c>
      <c r="H21">
        <v>32.28</v>
      </c>
      <c r="I21">
        <v>26.99</v>
      </c>
      <c r="J21">
        <f t="shared" si="0"/>
        <v>16.14</v>
      </c>
      <c r="L21">
        <v>163.952</v>
      </c>
      <c r="M21">
        <v>25.58</v>
      </c>
      <c r="N21">
        <f t="shared" si="1"/>
        <v>81.975999999999999</v>
      </c>
      <c r="P21">
        <v>36.448</v>
      </c>
      <c r="Q21">
        <v>26.88</v>
      </c>
      <c r="R21">
        <f t="shared" si="2"/>
        <v>18.224</v>
      </c>
    </row>
    <row r="22" spans="4:23">
      <c r="D22">
        <v>91.123999999999995</v>
      </c>
      <c r="E22">
        <v>26.06</v>
      </c>
      <c r="F22">
        <f t="shared" si="3"/>
        <v>45.561999999999998</v>
      </c>
      <c r="H22">
        <v>32.332999999999998</v>
      </c>
      <c r="I22">
        <v>27.13</v>
      </c>
      <c r="J22">
        <f t="shared" si="0"/>
        <v>16.166499999999999</v>
      </c>
      <c r="L22">
        <v>164.05799999999999</v>
      </c>
      <c r="M22">
        <v>25.58</v>
      </c>
      <c r="N22">
        <f t="shared" si="1"/>
        <v>82.028999999999996</v>
      </c>
      <c r="P22">
        <v>36.555</v>
      </c>
      <c r="Q22">
        <v>27.27</v>
      </c>
      <c r="R22">
        <f t="shared" si="2"/>
        <v>18.2775</v>
      </c>
    </row>
    <row r="23" spans="4:23">
      <c r="D23">
        <v>91.179000000000002</v>
      </c>
      <c r="E23">
        <v>26.09</v>
      </c>
      <c r="F23">
        <f t="shared" si="3"/>
        <v>45.589500000000001</v>
      </c>
      <c r="H23">
        <v>32.39</v>
      </c>
      <c r="I23">
        <v>27.41</v>
      </c>
      <c r="J23">
        <f t="shared" si="0"/>
        <v>16.195</v>
      </c>
      <c r="L23">
        <v>164.113</v>
      </c>
      <c r="M23">
        <v>25.61</v>
      </c>
      <c r="N23">
        <f t="shared" si="1"/>
        <v>82.0565</v>
      </c>
      <c r="P23">
        <v>36.613</v>
      </c>
      <c r="Q23">
        <v>27.5</v>
      </c>
      <c r="R23">
        <f t="shared" si="2"/>
        <v>18.3065</v>
      </c>
    </row>
    <row r="24" spans="4:23">
      <c r="D24">
        <v>91.233999999999995</v>
      </c>
      <c r="E24">
        <v>26.06</v>
      </c>
      <c r="F24">
        <f t="shared" si="3"/>
        <v>45.616999999999997</v>
      </c>
      <c r="H24">
        <v>32.497</v>
      </c>
      <c r="I24">
        <v>27.75</v>
      </c>
      <c r="J24">
        <f t="shared" si="0"/>
        <v>16.2485</v>
      </c>
      <c r="L24">
        <v>164.17</v>
      </c>
      <c r="M24">
        <v>25.64</v>
      </c>
      <c r="N24">
        <f t="shared" si="1"/>
        <v>82.084999999999994</v>
      </c>
      <c r="P24">
        <v>36.664999999999999</v>
      </c>
      <c r="Q24">
        <v>27.75</v>
      </c>
      <c r="R24">
        <f t="shared" si="2"/>
        <v>18.3325</v>
      </c>
    </row>
    <row r="25" spans="4:23">
      <c r="D25">
        <v>91.286000000000001</v>
      </c>
      <c r="E25">
        <v>26.2</v>
      </c>
      <c r="F25">
        <f t="shared" si="3"/>
        <v>45.643000000000001</v>
      </c>
      <c r="H25">
        <v>32.552</v>
      </c>
      <c r="I25">
        <v>27.89</v>
      </c>
      <c r="J25">
        <f t="shared" si="0"/>
        <v>16.276</v>
      </c>
      <c r="L25">
        <v>164.22300000000001</v>
      </c>
      <c r="M25">
        <v>25.72</v>
      </c>
      <c r="N25">
        <f t="shared" si="1"/>
        <v>82.111500000000007</v>
      </c>
      <c r="P25">
        <v>36.72</v>
      </c>
      <c r="Q25">
        <v>27.95</v>
      </c>
      <c r="R25">
        <f t="shared" si="2"/>
        <v>18.36</v>
      </c>
    </row>
    <row r="26" spans="4:23">
      <c r="D26">
        <v>91.34</v>
      </c>
      <c r="E26">
        <v>26.25</v>
      </c>
      <c r="F26">
        <f t="shared" si="3"/>
        <v>45.67</v>
      </c>
      <c r="H26">
        <v>32.607999999999997</v>
      </c>
      <c r="I26">
        <v>28.17</v>
      </c>
      <c r="J26">
        <f t="shared" si="0"/>
        <v>16.303999999999998</v>
      </c>
      <c r="L26">
        <v>164.27600000000001</v>
      </c>
      <c r="M26">
        <v>25.72</v>
      </c>
      <c r="N26">
        <f t="shared" si="1"/>
        <v>82.138000000000005</v>
      </c>
      <c r="P26">
        <v>36.832999999999998</v>
      </c>
      <c r="Q26">
        <v>28.28</v>
      </c>
      <c r="R26">
        <f t="shared" si="2"/>
        <v>18.416499999999999</v>
      </c>
    </row>
    <row r="27" spans="4:23">
      <c r="D27">
        <v>91.397000000000006</v>
      </c>
      <c r="E27">
        <v>26.33</v>
      </c>
      <c r="F27">
        <f t="shared" si="3"/>
        <v>45.698500000000003</v>
      </c>
      <c r="H27">
        <v>32.661000000000001</v>
      </c>
      <c r="I27">
        <v>28.36</v>
      </c>
      <c r="J27">
        <f t="shared" si="0"/>
        <v>16.330500000000001</v>
      </c>
      <c r="L27">
        <v>164.387</v>
      </c>
      <c r="M27">
        <v>25.7</v>
      </c>
      <c r="N27">
        <f t="shared" si="1"/>
        <v>82.1935</v>
      </c>
      <c r="P27">
        <v>36.884999999999998</v>
      </c>
      <c r="Q27">
        <v>28.63</v>
      </c>
      <c r="R27">
        <f t="shared" si="2"/>
        <v>18.442499999999999</v>
      </c>
    </row>
    <row r="28" spans="4:23">
      <c r="D28">
        <v>91.45</v>
      </c>
      <c r="E28">
        <v>26.39</v>
      </c>
      <c r="F28">
        <f t="shared" si="3"/>
        <v>45.725000000000001</v>
      </c>
      <c r="H28">
        <v>32.715000000000003</v>
      </c>
      <c r="I28">
        <v>28.59</v>
      </c>
      <c r="J28">
        <f t="shared" si="0"/>
        <v>16.357500000000002</v>
      </c>
      <c r="L28">
        <v>164.43899999999999</v>
      </c>
      <c r="M28">
        <v>25.83</v>
      </c>
      <c r="N28">
        <f t="shared" si="1"/>
        <v>82.219499999999996</v>
      </c>
      <c r="P28">
        <v>36.94</v>
      </c>
      <c r="Q28">
        <v>28.82</v>
      </c>
      <c r="R28">
        <f t="shared" si="2"/>
        <v>18.47</v>
      </c>
    </row>
    <row r="29" spans="4:23">
      <c r="D29">
        <v>91.504000000000005</v>
      </c>
      <c r="E29">
        <v>26.48</v>
      </c>
      <c r="F29">
        <f t="shared" si="3"/>
        <v>45.752000000000002</v>
      </c>
      <c r="H29">
        <v>32.826000000000001</v>
      </c>
      <c r="I29">
        <v>28.85</v>
      </c>
      <c r="J29">
        <f t="shared" si="0"/>
        <v>16.413</v>
      </c>
      <c r="L29">
        <v>164.494</v>
      </c>
      <c r="M29">
        <v>25.8</v>
      </c>
      <c r="N29">
        <f t="shared" si="1"/>
        <v>82.247</v>
      </c>
      <c r="P29">
        <v>36.997999999999998</v>
      </c>
      <c r="Q29">
        <v>29.1</v>
      </c>
      <c r="R29">
        <f t="shared" si="2"/>
        <v>18.498999999999999</v>
      </c>
    </row>
    <row r="30" spans="4:23">
      <c r="D30">
        <v>91.558000000000007</v>
      </c>
      <c r="E30">
        <v>26.59</v>
      </c>
      <c r="F30">
        <f t="shared" si="3"/>
        <v>45.779000000000003</v>
      </c>
      <c r="H30">
        <v>32.878999999999998</v>
      </c>
      <c r="I30">
        <v>29.22</v>
      </c>
      <c r="J30">
        <f t="shared" si="0"/>
        <v>16.439499999999999</v>
      </c>
      <c r="L30">
        <v>164.55099999999999</v>
      </c>
      <c r="M30">
        <v>25.94</v>
      </c>
      <c r="N30">
        <f t="shared" si="1"/>
        <v>82.275499999999994</v>
      </c>
      <c r="P30">
        <v>37.103999999999999</v>
      </c>
      <c r="Q30">
        <v>29.44</v>
      </c>
      <c r="R30">
        <f t="shared" si="2"/>
        <v>18.552</v>
      </c>
    </row>
    <row r="31" spans="4:23">
      <c r="D31">
        <v>91.614999999999995</v>
      </c>
      <c r="E31">
        <v>26.68</v>
      </c>
      <c r="F31">
        <f t="shared" si="3"/>
        <v>45.807499999999997</v>
      </c>
      <c r="H31">
        <v>32.933</v>
      </c>
      <c r="I31">
        <v>29.36</v>
      </c>
      <c r="J31">
        <f t="shared" si="0"/>
        <v>16.4665</v>
      </c>
      <c r="L31">
        <v>164.60499999999999</v>
      </c>
      <c r="M31">
        <v>25.92</v>
      </c>
      <c r="N31">
        <f t="shared" si="1"/>
        <v>82.302499999999995</v>
      </c>
      <c r="P31">
        <v>37.158999999999999</v>
      </c>
      <c r="Q31">
        <v>29.69</v>
      </c>
      <c r="R31">
        <f t="shared" si="2"/>
        <v>18.579499999999999</v>
      </c>
    </row>
    <row r="32" spans="4:23">
      <c r="D32">
        <v>91.668000000000006</v>
      </c>
      <c r="E32">
        <v>26.74</v>
      </c>
      <c r="F32">
        <f t="shared" si="3"/>
        <v>45.834000000000003</v>
      </c>
      <c r="H32">
        <v>32.99</v>
      </c>
      <c r="I32">
        <v>29.64</v>
      </c>
      <c r="J32">
        <f t="shared" si="0"/>
        <v>16.495000000000001</v>
      </c>
      <c r="L32">
        <v>164.65799999999999</v>
      </c>
      <c r="M32">
        <v>26.03</v>
      </c>
      <c r="N32">
        <f t="shared" si="1"/>
        <v>82.328999999999994</v>
      </c>
      <c r="P32">
        <v>37.216999999999999</v>
      </c>
      <c r="Q32">
        <v>29.95</v>
      </c>
      <c r="R32">
        <f t="shared" si="2"/>
        <v>18.608499999999999</v>
      </c>
    </row>
    <row r="33" spans="4:18">
      <c r="D33">
        <v>91.721999999999994</v>
      </c>
      <c r="E33">
        <v>26.84</v>
      </c>
      <c r="F33">
        <f t="shared" si="3"/>
        <v>45.860999999999997</v>
      </c>
      <c r="H33">
        <v>33.095999999999997</v>
      </c>
      <c r="I33">
        <v>29.97</v>
      </c>
      <c r="J33">
        <f t="shared" si="0"/>
        <v>16.547999999999998</v>
      </c>
      <c r="L33">
        <v>164.71199999999999</v>
      </c>
      <c r="M33">
        <v>26.09</v>
      </c>
      <c r="N33">
        <f t="shared" si="1"/>
        <v>82.355999999999995</v>
      </c>
      <c r="P33">
        <v>37.268999999999998</v>
      </c>
      <c r="Q33">
        <v>30.19</v>
      </c>
      <c r="R33">
        <f t="shared" si="2"/>
        <v>18.634499999999999</v>
      </c>
    </row>
    <row r="34" spans="4:18">
      <c r="D34">
        <v>91.778000000000006</v>
      </c>
      <c r="E34">
        <v>26.93</v>
      </c>
      <c r="F34">
        <f t="shared" si="3"/>
        <v>45.889000000000003</v>
      </c>
      <c r="H34">
        <v>33.15</v>
      </c>
      <c r="I34">
        <v>30.2</v>
      </c>
      <c r="J34">
        <f t="shared" si="0"/>
        <v>16.574999999999999</v>
      </c>
      <c r="L34">
        <v>164.76900000000001</v>
      </c>
      <c r="M34">
        <v>26.09</v>
      </c>
      <c r="N34">
        <f t="shared" si="1"/>
        <v>82.384500000000003</v>
      </c>
      <c r="P34">
        <v>37.322000000000003</v>
      </c>
      <c r="Q34">
        <v>30.42</v>
      </c>
      <c r="R34">
        <f t="shared" si="2"/>
        <v>18.661000000000001</v>
      </c>
    </row>
    <row r="35" spans="4:18">
      <c r="D35">
        <v>91.832999999999998</v>
      </c>
      <c r="E35">
        <v>26.9</v>
      </c>
      <c r="F35">
        <f t="shared" si="3"/>
        <v>45.916499999999999</v>
      </c>
      <c r="H35">
        <v>33.207999999999998</v>
      </c>
      <c r="I35">
        <v>30.48</v>
      </c>
      <c r="J35">
        <f t="shared" si="0"/>
        <v>16.603999999999999</v>
      </c>
      <c r="L35">
        <v>164.821</v>
      </c>
      <c r="M35">
        <v>26.15</v>
      </c>
      <c r="N35">
        <f t="shared" si="1"/>
        <v>82.410499999999999</v>
      </c>
      <c r="P35">
        <v>37.433</v>
      </c>
      <c r="Q35">
        <v>30.76</v>
      </c>
      <c r="R35">
        <f t="shared" si="2"/>
        <v>18.7165</v>
      </c>
    </row>
    <row r="36" spans="4:18">
      <c r="D36">
        <v>91.885999999999996</v>
      </c>
      <c r="E36">
        <v>27.1</v>
      </c>
      <c r="F36">
        <f t="shared" si="3"/>
        <v>45.942999999999998</v>
      </c>
      <c r="H36">
        <v>33.26</v>
      </c>
      <c r="I36">
        <v>30.65</v>
      </c>
      <c r="J36">
        <f t="shared" si="0"/>
        <v>16.63</v>
      </c>
      <c r="L36">
        <v>164.874</v>
      </c>
      <c r="M36">
        <v>26.17</v>
      </c>
      <c r="N36">
        <f t="shared" si="1"/>
        <v>82.436999999999998</v>
      </c>
      <c r="P36">
        <v>37.484999999999999</v>
      </c>
      <c r="Q36">
        <v>31.13</v>
      </c>
      <c r="R36">
        <f t="shared" si="2"/>
        <v>18.7425</v>
      </c>
    </row>
    <row r="37" spans="4:18">
      <c r="D37">
        <v>91.941000000000003</v>
      </c>
      <c r="E37">
        <v>27.1</v>
      </c>
      <c r="F37">
        <f t="shared" si="3"/>
        <v>45.970500000000001</v>
      </c>
      <c r="H37">
        <v>33.313000000000002</v>
      </c>
      <c r="I37">
        <v>30.9</v>
      </c>
      <c r="J37">
        <f t="shared" si="0"/>
        <v>16.656500000000001</v>
      </c>
      <c r="L37">
        <v>164.98500000000001</v>
      </c>
      <c r="M37">
        <v>26.15</v>
      </c>
      <c r="N37">
        <f t="shared" si="1"/>
        <v>82.492500000000007</v>
      </c>
      <c r="P37">
        <v>37.539000000000001</v>
      </c>
      <c r="Q37">
        <v>31.3</v>
      </c>
      <c r="R37">
        <f t="shared" si="2"/>
        <v>18.769500000000001</v>
      </c>
    </row>
    <row r="38" spans="4:18">
      <c r="D38">
        <v>91.998999999999995</v>
      </c>
      <c r="E38">
        <v>27.29</v>
      </c>
      <c r="F38">
        <f t="shared" si="3"/>
        <v>45.999499999999998</v>
      </c>
      <c r="H38">
        <v>33.366999999999997</v>
      </c>
      <c r="I38">
        <v>31.07</v>
      </c>
      <c r="J38">
        <f t="shared" si="0"/>
        <v>16.683499999999999</v>
      </c>
      <c r="L38">
        <v>165.03700000000001</v>
      </c>
      <c r="M38">
        <v>26.31</v>
      </c>
      <c r="N38">
        <f t="shared" si="1"/>
        <v>82.518500000000003</v>
      </c>
      <c r="P38">
        <v>37.597000000000001</v>
      </c>
      <c r="Q38">
        <v>31.61</v>
      </c>
      <c r="R38">
        <f t="shared" si="2"/>
        <v>18.798500000000001</v>
      </c>
    </row>
    <row r="39" spans="4:18">
      <c r="D39">
        <v>92.103999999999999</v>
      </c>
      <c r="E39">
        <v>27.35</v>
      </c>
      <c r="F39">
        <f t="shared" si="3"/>
        <v>46.052</v>
      </c>
      <c r="H39">
        <v>33.423000000000002</v>
      </c>
      <c r="I39">
        <v>31.3</v>
      </c>
      <c r="J39">
        <f t="shared" si="0"/>
        <v>16.711500000000001</v>
      </c>
      <c r="L39">
        <v>165.09100000000001</v>
      </c>
      <c r="M39">
        <v>26.31</v>
      </c>
      <c r="N39">
        <f t="shared" si="1"/>
        <v>82.545500000000004</v>
      </c>
      <c r="P39">
        <v>37.65</v>
      </c>
      <c r="Q39">
        <v>31.77</v>
      </c>
      <c r="R39">
        <f t="shared" si="2"/>
        <v>18.824999999999999</v>
      </c>
    </row>
    <row r="40" spans="4:18">
      <c r="D40">
        <v>92.158000000000001</v>
      </c>
      <c r="E40">
        <v>27.49</v>
      </c>
      <c r="F40">
        <f t="shared" si="3"/>
        <v>46.079000000000001</v>
      </c>
      <c r="H40">
        <v>33.475999999999999</v>
      </c>
      <c r="I40">
        <v>31.55</v>
      </c>
      <c r="J40">
        <f t="shared" si="0"/>
        <v>16.738</v>
      </c>
      <c r="L40">
        <v>165.149</v>
      </c>
      <c r="M40">
        <v>26.39</v>
      </c>
      <c r="N40">
        <f t="shared" si="1"/>
        <v>82.5745</v>
      </c>
      <c r="P40">
        <v>37.704000000000001</v>
      </c>
      <c r="Q40">
        <v>32.06</v>
      </c>
      <c r="R40">
        <f t="shared" si="2"/>
        <v>18.852</v>
      </c>
    </row>
    <row r="41" spans="4:18">
      <c r="D41">
        <v>92.215000000000003</v>
      </c>
      <c r="E41">
        <v>27.58</v>
      </c>
      <c r="F41">
        <f t="shared" si="3"/>
        <v>46.107500000000002</v>
      </c>
      <c r="H41">
        <v>33.53</v>
      </c>
      <c r="I41">
        <v>31.75</v>
      </c>
      <c r="J41">
        <f t="shared" si="0"/>
        <v>16.765000000000001</v>
      </c>
      <c r="L41">
        <v>165.202</v>
      </c>
      <c r="M41">
        <v>26.39</v>
      </c>
      <c r="N41">
        <f t="shared" si="1"/>
        <v>82.600999999999999</v>
      </c>
      <c r="P41">
        <v>37.759</v>
      </c>
      <c r="Q41">
        <v>32.31</v>
      </c>
      <c r="R41">
        <f t="shared" si="2"/>
        <v>18.8795</v>
      </c>
    </row>
    <row r="42" spans="4:18">
      <c r="D42">
        <v>92.268000000000001</v>
      </c>
      <c r="E42">
        <v>27.66</v>
      </c>
      <c r="F42">
        <f t="shared" si="3"/>
        <v>46.134</v>
      </c>
      <c r="H42">
        <v>33.585999999999999</v>
      </c>
      <c r="I42">
        <v>32</v>
      </c>
      <c r="J42">
        <f t="shared" si="0"/>
        <v>16.792999999999999</v>
      </c>
      <c r="L42">
        <v>165.309</v>
      </c>
      <c r="M42">
        <v>26.48</v>
      </c>
      <c r="N42">
        <f t="shared" si="1"/>
        <v>82.654499999999999</v>
      </c>
      <c r="P42">
        <v>37.817</v>
      </c>
      <c r="Q42">
        <v>32.57</v>
      </c>
      <c r="R42">
        <f t="shared" si="2"/>
        <v>18.9085</v>
      </c>
    </row>
    <row r="43" spans="4:18">
      <c r="D43">
        <v>92.322000000000003</v>
      </c>
      <c r="E43">
        <v>27.77</v>
      </c>
      <c r="F43">
        <f t="shared" si="3"/>
        <v>46.161000000000001</v>
      </c>
      <c r="H43">
        <v>33.64</v>
      </c>
      <c r="I43">
        <v>32.14</v>
      </c>
      <c r="J43">
        <f t="shared" si="0"/>
        <v>16.82</v>
      </c>
      <c r="L43">
        <v>165.36699999999999</v>
      </c>
      <c r="M43">
        <v>26.59</v>
      </c>
      <c r="N43">
        <f t="shared" si="1"/>
        <v>82.683499999999995</v>
      </c>
      <c r="P43">
        <v>37.869</v>
      </c>
      <c r="Q43">
        <v>32.76</v>
      </c>
      <c r="R43">
        <f t="shared" si="2"/>
        <v>18.9345</v>
      </c>
    </row>
    <row r="44" spans="4:18">
      <c r="D44">
        <v>92.433000000000007</v>
      </c>
      <c r="E44">
        <v>27.83</v>
      </c>
      <c r="F44">
        <f t="shared" si="3"/>
        <v>46.216500000000003</v>
      </c>
      <c r="H44">
        <v>33.747</v>
      </c>
      <c r="I44">
        <v>32.51</v>
      </c>
      <c r="J44">
        <f t="shared" si="0"/>
        <v>16.8735</v>
      </c>
      <c r="L44">
        <v>165.41900000000001</v>
      </c>
      <c r="M44">
        <v>26.68</v>
      </c>
      <c r="N44">
        <f t="shared" si="1"/>
        <v>82.709500000000006</v>
      </c>
      <c r="P44">
        <v>37.923000000000002</v>
      </c>
      <c r="Q44">
        <v>33.049999999999997</v>
      </c>
      <c r="R44">
        <f t="shared" si="2"/>
        <v>18.961500000000001</v>
      </c>
    </row>
    <row r="45" spans="4:18">
      <c r="D45">
        <v>92.484999999999999</v>
      </c>
      <c r="E45">
        <v>28.03</v>
      </c>
      <c r="F45">
        <f t="shared" si="3"/>
        <v>46.2425</v>
      </c>
      <c r="H45">
        <v>33.805</v>
      </c>
      <c r="I45">
        <v>32.880000000000003</v>
      </c>
      <c r="J45">
        <f t="shared" si="0"/>
        <v>16.9025</v>
      </c>
      <c r="L45">
        <v>165.47300000000001</v>
      </c>
      <c r="M45">
        <v>26.65</v>
      </c>
      <c r="N45">
        <f t="shared" si="1"/>
        <v>82.736500000000007</v>
      </c>
      <c r="P45">
        <v>37.981000000000002</v>
      </c>
      <c r="Q45">
        <v>33.35</v>
      </c>
      <c r="R45">
        <f t="shared" si="2"/>
        <v>18.990500000000001</v>
      </c>
    </row>
    <row r="46" spans="4:18">
      <c r="D46">
        <v>92.54</v>
      </c>
      <c r="E46">
        <v>28.09</v>
      </c>
      <c r="F46">
        <f t="shared" si="3"/>
        <v>46.27</v>
      </c>
      <c r="H46">
        <v>33.859000000000002</v>
      </c>
      <c r="I46">
        <v>33.1</v>
      </c>
      <c r="J46">
        <f t="shared" si="0"/>
        <v>16.929500000000001</v>
      </c>
      <c r="L46">
        <v>165.529</v>
      </c>
      <c r="M46">
        <v>26.81</v>
      </c>
      <c r="N46">
        <f t="shared" si="1"/>
        <v>82.764499999999998</v>
      </c>
      <c r="P46">
        <v>38.036000000000001</v>
      </c>
      <c r="Q46">
        <v>33.520000000000003</v>
      </c>
      <c r="R46">
        <f t="shared" si="2"/>
        <v>19.018000000000001</v>
      </c>
    </row>
    <row r="47" spans="4:18">
      <c r="D47">
        <v>92.597999999999999</v>
      </c>
      <c r="E47">
        <v>28.2</v>
      </c>
      <c r="F47">
        <f t="shared" si="3"/>
        <v>46.298999999999999</v>
      </c>
      <c r="H47">
        <v>33.911999999999999</v>
      </c>
      <c r="I47">
        <v>33.36</v>
      </c>
      <c r="J47">
        <f t="shared" si="0"/>
        <v>16.956</v>
      </c>
      <c r="L47">
        <v>165.584</v>
      </c>
      <c r="M47">
        <v>26.74</v>
      </c>
      <c r="N47">
        <f t="shared" si="1"/>
        <v>82.792000000000002</v>
      </c>
      <c r="P47">
        <v>38.088000000000001</v>
      </c>
      <c r="Q47">
        <v>33.86</v>
      </c>
      <c r="R47">
        <f t="shared" si="2"/>
        <v>19.044</v>
      </c>
    </row>
    <row r="48" spans="4:18">
      <c r="D48">
        <v>92.703999999999994</v>
      </c>
      <c r="E48">
        <v>28.31</v>
      </c>
      <c r="F48">
        <f t="shared" si="3"/>
        <v>46.351999999999997</v>
      </c>
      <c r="H48">
        <v>33.966999999999999</v>
      </c>
      <c r="I48">
        <v>33.61</v>
      </c>
      <c r="J48">
        <f t="shared" si="0"/>
        <v>16.983499999999999</v>
      </c>
      <c r="L48">
        <v>165.637</v>
      </c>
      <c r="M48">
        <v>26.9</v>
      </c>
      <c r="N48">
        <f t="shared" si="1"/>
        <v>82.8185</v>
      </c>
      <c r="P48">
        <v>38.143000000000001</v>
      </c>
      <c r="Q48">
        <v>34.090000000000003</v>
      </c>
      <c r="R48">
        <f t="shared" si="2"/>
        <v>19.0715</v>
      </c>
    </row>
    <row r="49" spans="4:18">
      <c r="D49">
        <v>92.760999999999996</v>
      </c>
      <c r="E49">
        <v>28.39</v>
      </c>
      <c r="F49">
        <f t="shared" si="3"/>
        <v>46.380499999999998</v>
      </c>
      <c r="H49">
        <v>34.024000000000001</v>
      </c>
      <c r="I49">
        <v>33.869999999999997</v>
      </c>
      <c r="J49">
        <f t="shared" si="0"/>
        <v>17.012</v>
      </c>
      <c r="L49">
        <v>165.69</v>
      </c>
      <c r="M49">
        <v>26.9</v>
      </c>
      <c r="N49">
        <f t="shared" si="1"/>
        <v>82.844999999999999</v>
      </c>
      <c r="P49">
        <v>38.201000000000001</v>
      </c>
      <c r="Q49">
        <v>34.39</v>
      </c>
      <c r="R49">
        <f t="shared" si="2"/>
        <v>19.1005</v>
      </c>
    </row>
    <row r="50" spans="4:18">
      <c r="D50">
        <v>92.817999999999998</v>
      </c>
      <c r="E50">
        <v>28.51</v>
      </c>
      <c r="F50">
        <f t="shared" si="3"/>
        <v>46.408999999999999</v>
      </c>
      <c r="H50">
        <v>34.078000000000003</v>
      </c>
      <c r="I50">
        <v>34.14</v>
      </c>
      <c r="J50">
        <f t="shared" si="0"/>
        <v>17.039000000000001</v>
      </c>
      <c r="L50">
        <v>165.74799999999999</v>
      </c>
      <c r="M50">
        <v>26.99</v>
      </c>
      <c r="N50">
        <f t="shared" si="1"/>
        <v>82.873999999999995</v>
      </c>
      <c r="P50">
        <v>38.253999999999998</v>
      </c>
      <c r="Q50">
        <v>34.57</v>
      </c>
      <c r="R50">
        <f t="shared" si="2"/>
        <v>19.126999999999999</v>
      </c>
    </row>
    <row r="51" spans="4:18">
      <c r="D51">
        <v>92.869</v>
      </c>
      <c r="E51">
        <v>28.56</v>
      </c>
      <c r="F51">
        <f t="shared" si="3"/>
        <v>46.4345</v>
      </c>
      <c r="H51">
        <v>34.131999999999998</v>
      </c>
      <c r="I51">
        <v>34.31</v>
      </c>
      <c r="J51">
        <f t="shared" si="0"/>
        <v>17.065999999999999</v>
      </c>
      <c r="L51">
        <v>165.80199999999999</v>
      </c>
      <c r="M51">
        <v>26.93</v>
      </c>
      <c r="N51">
        <f t="shared" si="1"/>
        <v>82.900999999999996</v>
      </c>
      <c r="P51">
        <v>38.307000000000002</v>
      </c>
      <c r="Q51">
        <v>34.869999999999997</v>
      </c>
      <c r="R51">
        <f t="shared" si="2"/>
        <v>19.153500000000001</v>
      </c>
    </row>
    <row r="52" spans="4:18">
      <c r="D52">
        <v>92.923000000000002</v>
      </c>
      <c r="E52">
        <v>28.71</v>
      </c>
      <c r="F52">
        <f t="shared" si="3"/>
        <v>46.461500000000001</v>
      </c>
      <c r="H52">
        <v>34.188000000000002</v>
      </c>
      <c r="I52">
        <v>34.590000000000003</v>
      </c>
      <c r="J52">
        <f t="shared" si="0"/>
        <v>17.094000000000001</v>
      </c>
      <c r="L52">
        <v>165.91</v>
      </c>
      <c r="M52">
        <v>26.99</v>
      </c>
      <c r="N52">
        <f t="shared" si="1"/>
        <v>82.954999999999998</v>
      </c>
      <c r="P52">
        <v>38.363999999999997</v>
      </c>
      <c r="Q52">
        <v>35.1</v>
      </c>
      <c r="R52">
        <f t="shared" si="2"/>
        <v>19.181999999999999</v>
      </c>
    </row>
    <row r="53" spans="4:18">
      <c r="D53">
        <v>92.978999999999999</v>
      </c>
      <c r="E53">
        <v>28.77</v>
      </c>
      <c r="F53">
        <f t="shared" si="3"/>
        <v>46.4895</v>
      </c>
      <c r="H53">
        <v>34.243000000000002</v>
      </c>
      <c r="I53">
        <v>34.76</v>
      </c>
      <c r="J53">
        <f t="shared" si="0"/>
        <v>17.121500000000001</v>
      </c>
      <c r="L53">
        <v>165.96799999999999</v>
      </c>
      <c r="M53">
        <v>27.1</v>
      </c>
      <c r="N53">
        <f t="shared" si="1"/>
        <v>82.983999999999995</v>
      </c>
      <c r="P53">
        <v>38.420999999999999</v>
      </c>
      <c r="Q53">
        <v>35.409999999999997</v>
      </c>
      <c r="R53">
        <f t="shared" si="2"/>
        <v>19.2105</v>
      </c>
    </row>
    <row r="54" spans="4:18">
      <c r="D54">
        <v>93.034999999999997</v>
      </c>
      <c r="E54">
        <v>28.81</v>
      </c>
      <c r="F54">
        <f t="shared" si="3"/>
        <v>46.517499999999998</v>
      </c>
      <c r="H54">
        <v>34.35</v>
      </c>
      <c r="I54">
        <v>35.21</v>
      </c>
      <c r="J54">
        <f t="shared" si="0"/>
        <v>17.175000000000001</v>
      </c>
      <c r="L54">
        <v>166.02</v>
      </c>
      <c r="M54">
        <v>27.1</v>
      </c>
      <c r="N54">
        <f t="shared" si="1"/>
        <v>83.01</v>
      </c>
      <c r="P54">
        <v>38.472999999999999</v>
      </c>
      <c r="Q54">
        <v>35.700000000000003</v>
      </c>
      <c r="R54">
        <f t="shared" si="2"/>
        <v>19.236499999999999</v>
      </c>
    </row>
    <row r="55" spans="4:18">
      <c r="D55">
        <v>93.087000000000003</v>
      </c>
      <c r="E55">
        <v>28.96</v>
      </c>
      <c r="F55">
        <f t="shared" si="3"/>
        <v>46.543500000000002</v>
      </c>
      <c r="H55">
        <v>34.406999999999996</v>
      </c>
      <c r="I55">
        <v>35.549999999999997</v>
      </c>
      <c r="J55">
        <f t="shared" si="0"/>
        <v>17.203499999999998</v>
      </c>
      <c r="L55">
        <v>166.07400000000001</v>
      </c>
      <c r="M55">
        <v>27.16</v>
      </c>
      <c r="N55">
        <f t="shared" si="1"/>
        <v>83.037000000000006</v>
      </c>
      <c r="P55">
        <v>38.527000000000001</v>
      </c>
      <c r="Q55">
        <v>35.94</v>
      </c>
      <c r="R55">
        <f t="shared" si="2"/>
        <v>19.263500000000001</v>
      </c>
    </row>
    <row r="56" spans="4:18">
      <c r="D56">
        <v>93.141999999999996</v>
      </c>
      <c r="E56">
        <v>28.98</v>
      </c>
      <c r="F56">
        <f t="shared" si="3"/>
        <v>46.570999999999998</v>
      </c>
      <c r="H56">
        <v>34.460999999999999</v>
      </c>
      <c r="I56">
        <v>35.72</v>
      </c>
      <c r="J56">
        <f t="shared" si="0"/>
        <v>17.230499999999999</v>
      </c>
      <c r="L56">
        <v>166.18600000000001</v>
      </c>
      <c r="M56">
        <v>27.02</v>
      </c>
      <c r="N56">
        <f t="shared" si="1"/>
        <v>83.093000000000004</v>
      </c>
      <c r="P56">
        <v>38.585999999999999</v>
      </c>
      <c r="Q56">
        <v>36.26</v>
      </c>
      <c r="R56">
        <f t="shared" si="2"/>
        <v>19.292999999999999</v>
      </c>
    </row>
    <row r="57" spans="4:18">
      <c r="D57">
        <v>93.198999999999998</v>
      </c>
      <c r="E57">
        <v>29.1</v>
      </c>
      <c r="F57">
        <f t="shared" si="3"/>
        <v>46.599499999999999</v>
      </c>
      <c r="H57">
        <v>34.515000000000001</v>
      </c>
      <c r="I57">
        <v>36.03</v>
      </c>
      <c r="J57">
        <f t="shared" si="0"/>
        <v>17.2575</v>
      </c>
      <c r="L57">
        <v>166.238</v>
      </c>
      <c r="M57">
        <v>27.22</v>
      </c>
      <c r="N57">
        <f t="shared" si="1"/>
        <v>83.119</v>
      </c>
      <c r="P57">
        <v>38.64</v>
      </c>
      <c r="Q57">
        <v>36.51</v>
      </c>
      <c r="R57">
        <f t="shared" si="2"/>
        <v>19.32</v>
      </c>
    </row>
    <row r="58" spans="4:18">
      <c r="D58">
        <v>93.305000000000007</v>
      </c>
      <c r="E58">
        <v>29.21</v>
      </c>
      <c r="F58">
        <f t="shared" si="3"/>
        <v>46.652500000000003</v>
      </c>
      <c r="H58">
        <v>34.625999999999998</v>
      </c>
      <c r="I58">
        <v>36.46</v>
      </c>
      <c r="J58">
        <f t="shared" si="0"/>
        <v>17.312999999999999</v>
      </c>
      <c r="L58">
        <v>166.29300000000001</v>
      </c>
      <c r="M58">
        <v>27.16</v>
      </c>
      <c r="N58">
        <f t="shared" si="1"/>
        <v>83.146500000000003</v>
      </c>
      <c r="P58">
        <v>38.692999999999998</v>
      </c>
      <c r="Q58">
        <v>36.82</v>
      </c>
      <c r="R58">
        <f t="shared" si="2"/>
        <v>19.346499999999999</v>
      </c>
    </row>
    <row r="59" spans="4:18">
      <c r="D59">
        <v>93.36</v>
      </c>
      <c r="E59">
        <v>29.32</v>
      </c>
      <c r="F59">
        <f t="shared" si="3"/>
        <v>46.68</v>
      </c>
      <c r="H59">
        <v>34.680999999999997</v>
      </c>
      <c r="I59">
        <v>36.79</v>
      </c>
      <c r="J59">
        <f t="shared" si="0"/>
        <v>17.340499999999999</v>
      </c>
      <c r="L59">
        <v>166.351</v>
      </c>
      <c r="M59">
        <v>27.16</v>
      </c>
      <c r="N59">
        <f t="shared" si="1"/>
        <v>83.1755</v>
      </c>
      <c r="P59">
        <v>38.75</v>
      </c>
      <c r="Q59">
        <v>37.04</v>
      </c>
      <c r="R59">
        <f t="shared" si="2"/>
        <v>19.375</v>
      </c>
    </row>
    <row r="60" spans="4:18">
      <c r="D60">
        <v>93.418000000000006</v>
      </c>
      <c r="E60">
        <v>29.46</v>
      </c>
      <c r="F60">
        <f t="shared" si="3"/>
        <v>46.709000000000003</v>
      </c>
      <c r="H60">
        <v>34.734999999999999</v>
      </c>
      <c r="I60">
        <v>37.04</v>
      </c>
      <c r="J60">
        <f t="shared" si="0"/>
        <v>17.3675</v>
      </c>
      <c r="L60">
        <v>166.45699999999999</v>
      </c>
      <c r="M60">
        <v>27.02</v>
      </c>
      <c r="N60">
        <f t="shared" si="1"/>
        <v>83.228499999999997</v>
      </c>
      <c r="P60">
        <v>38.808</v>
      </c>
      <c r="Q60">
        <v>37.380000000000003</v>
      </c>
      <c r="R60">
        <f t="shared" si="2"/>
        <v>19.404</v>
      </c>
    </row>
    <row r="61" spans="4:18">
      <c r="D61">
        <v>93.47</v>
      </c>
      <c r="E61">
        <v>29.55</v>
      </c>
      <c r="F61">
        <f t="shared" si="3"/>
        <v>46.734999999999999</v>
      </c>
      <c r="H61">
        <v>34.792999999999999</v>
      </c>
      <c r="I61">
        <v>37.36</v>
      </c>
      <c r="J61">
        <f t="shared" si="0"/>
        <v>17.3965</v>
      </c>
      <c r="L61">
        <v>166.512</v>
      </c>
      <c r="M61">
        <v>27.1</v>
      </c>
      <c r="N61">
        <f t="shared" si="1"/>
        <v>83.256</v>
      </c>
      <c r="P61">
        <v>38.860999999999997</v>
      </c>
      <c r="Q61">
        <v>37.64</v>
      </c>
      <c r="R61">
        <f t="shared" si="2"/>
        <v>19.430499999999999</v>
      </c>
    </row>
    <row r="62" spans="4:18">
      <c r="D62">
        <v>93.581000000000003</v>
      </c>
      <c r="E62">
        <v>29.69</v>
      </c>
      <c r="F62">
        <f t="shared" si="3"/>
        <v>46.790500000000002</v>
      </c>
      <c r="H62">
        <v>34.847000000000001</v>
      </c>
      <c r="I62">
        <v>37.58</v>
      </c>
      <c r="J62">
        <f t="shared" si="0"/>
        <v>17.423500000000001</v>
      </c>
      <c r="L62">
        <v>166.57</v>
      </c>
      <c r="M62">
        <v>27.1</v>
      </c>
      <c r="N62">
        <f t="shared" si="1"/>
        <v>83.284999999999997</v>
      </c>
      <c r="P62">
        <v>38.915999999999997</v>
      </c>
      <c r="Q62">
        <v>37.97</v>
      </c>
      <c r="R62">
        <f t="shared" si="2"/>
        <v>19.457999999999998</v>
      </c>
    </row>
    <row r="63" spans="4:18">
      <c r="D63">
        <v>93.637</v>
      </c>
      <c r="E63">
        <v>29.78</v>
      </c>
      <c r="F63">
        <f t="shared" si="3"/>
        <v>46.8185</v>
      </c>
      <c r="H63">
        <v>34.901000000000003</v>
      </c>
      <c r="I63">
        <v>37.840000000000003</v>
      </c>
      <c r="J63">
        <f t="shared" si="0"/>
        <v>17.450500000000002</v>
      </c>
      <c r="L63">
        <v>166.62200000000001</v>
      </c>
      <c r="M63">
        <v>27.27</v>
      </c>
      <c r="N63">
        <f t="shared" si="1"/>
        <v>83.311000000000007</v>
      </c>
      <c r="P63">
        <v>38.972999999999999</v>
      </c>
      <c r="Q63">
        <v>38.29</v>
      </c>
      <c r="R63">
        <f t="shared" si="2"/>
        <v>19.486499999999999</v>
      </c>
    </row>
    <row r="64" spans="4:18">
      <c r="D64">
        <v>93.688999999999993</v>
      </c>
      <c r="E64">
        <v>29.94</v>
      </c>
      <c r="F64">
        <f t="shared" si="3"/>
        <v>46.844499999999996</v>
      </c>
      <c r="H64">
        <v>34.954000000000001</v>
      </c>
      <c r="I64">
        <v>38.08</v>
      </c>
      <c r="J64">
        <f t="shared" si="0"/>
        <v>17.477</v>
      </c>
      <c r="L64">
        <v>166.67599999999999</v>
      </c>
      <c r="M64">
        <v>27.25</v>
      </c>
      <c r="N64">
        <f t="shared" si="1"/>
        <v>83.337999999999994</v>
      </c>
      <c r="P64">
        <v>39.08</v>
      </c>
      <c r="Q64">
        <v>38.799999999999997</v>
      </c>
      <c r="R64">
        <f t="shared" si="2"/>
        <v>19.54</v>
      </c>
    </row>
    <row r="65" spans="4:18">
      <c r="D65">
        <v>93.744</v>
      </c>
      <c r="E65">
        <v>30</v>
      </c>
      <c r="F65">
        <f t="shared" si="3"/>
        <v>46.872</v>
      </c>
      <c r="H65">
        <v>35.011000000000003</v>
      </c>
      <c r="I65">
        <v>38.43</v>
      </c>
      <c r="J65">
        <f t="shared" si="0"/>
        <v>17.505500000000001</v>
      </c>
      <c r="L65">
        <v>166.78800000000001</v>
      </c>
      <c r="M65">
        <v>27.25</v>
      </c>
      <c r="N65">
        <f t="shared" si="1"/>
        <v>83.394000000000005</v>
      </c>
      <c r="P65">
        <v>39.134</v>
      </c>
      <c r="Q65">
        <v>39.130000000000003</v>
      </c>
      <c r="R65">
        <f t="shared" si="2"/>
        <v>19.567</v>
      </c>
    </row>
    <row r="66" spans="4:18">
      <c r="D66">
        <v>93.853999999999999</v>
      </c>
      <c r="E66">
        <v>30.06</v>
      </c>
      <c r="F66">
        <f t="shared" si="3"/>
        <v>46.927</v>
      </c>
      <c r="H66">
        <v>35.064</v>
      </c>
      <c r="I66">
        <v>38.590000000000003</v>
      </c>
      <c r="J66">
        <f t="shared" si="0"/>
        <v>17.532</v>
      </c>
      <c r="L66">
        <v>166.84</v>
      </c>
      <c r="M66">
        <v>27.44</v>
      </c>
      <c r="N66">
        <f t="shared" si="1"/>
        <v>83.42</v>
      </c>
      <c r="P66">
        <v>39.192999999999998</v>
      </c>
      <c r="Q66">
        <v>39.47</v>
      </c>
      <c r="R66">
        <f t="shared" si="2"/>
        <v>19.596499999999999</v>
      </c>
    </row>
    <row r="67" spans="4:18">
      <c r="D67">
        <v>93.906999999999996</v>
      </c>
      <c r="E67">
        <v>30.3</v>
      </c>
      <c r="F67">
        <f t="shared" si="3"/>
        <v>46.953499999999998</v>
      </c>
      <c r="H67">
        <v>35.170999999999999</v>
      </c>
      <c r="I67">
        <v>39.1</v>
      </c>
      <c r="J67">
        <f t="shared" si="0"/>
        <v>17.5855</v>
      </c>
      <c r="L67">
        <v>166.89500000000001</v>
      </c>
      <c r="M67">
        <v>27.41</v>
      </c>
      <c r="N67">
        <f t="shared" si="1"/>
        <v>83.447500000000005</v>
      </c>
      <c r="P67">
        <v>39.246000000000002</v>
      </c>
      <c r="Q67">
        <v>39.75</v>
      </c>
      <c r="R67">
        <f t="shared" si="2"/>
        <v>19.623000000000001</v>
      </c>
    </row>
    <row r="68" spans="4:18">
      <c r="D68">
        <v>93.962000000000003</v>
      </c>
      <c r="E68">
        <v>30.3</v>
      </c>
      <c r="F68">
        <f t="shared" si="3"/>
        <v>46.981000000000002</v>
      </c>
      <c r="H68">
        <v>35.228000000000002</v>
      </c>
      <c r="I68">
        <v>39.5</v>
      </c>
      <c r="J68">
        <f t="shared" si="0"/>
        <v>17.614000000000001</v>
      </c>
      <c r="L68">
        <v>166.95400000000001</v>
      </c>
      <c r="M68">
        <v>27.49</v>
      </c>
      <c r="N68">
        <f t="shared" si="1"/>
        <v>83.477000000000004</v>
      </c>
      <c r="P68">
        <v>39.296999999999997</v>
      </c>
      <c r="Q68">
        <v>40.090000000000003</v>
      </c>
      <c r="R68">
        <f t="shared" si="2"/>
        <v>19.648499999999999</v>
      </c>
    </row>
    <row r="69" spans="4:18">
      <c r="D69">
        <v>94.018000000000001</v>
      </c>
      <c r="E69">
        <v>30.42</v>
      </c>
      <c r="F69">
        <f t="shared" si="3"/>
        <v>47.009</v>
      </c>
      <c r="H69">
        <v>35.277999999999999</v>
      </c>
      <c r="I69">
        <v>39.75</v>
      </c>
      <c r="J69">
        <f t="shared" si="0"/>
        <v>17.638999999999999</v>
      </c>
      <c r="L69">
        <v>167.059</v>
      </c>
      <c r="M69">
        <v>27.47</v>
      </c>
      <c r="N69">
        <f t="shared" si="1"/>
        <v>83.529499999999999</v>
      </c>
    </row>
    <row r="70" spans="4:18">
      <c r="D70">
        <v>94.07</v>
      </c>
      <c r="E70">
        <v>30.48</v>
      </c>
      <c r="F70">
        <f t="shared" si="3"/>
        <v>47.034999999999997</v>
      </c>
      <c r="H70">
        <v>35.331000000000003</v>
      </c>
      <c r="I70">
        <v>39.950000000000003</v>
      </c>
      <c r="J70">
        <f t="shared" si="0"/>
        <v>17.665500000000002</v>
      </c>
      <c r="L70">
        <v>167.11500000000001</v>
      </c>
      <c r="M70">
        <v>27.55</v>
      </c>
      <c r="N70">
        <f t="shared" si="1"/>
        <v>83.557500000000005</v>
      </c>
    </row>
    <row r="71" spans="4:18">
      <c r="D71">
        <v>94.177999999999997</v>
      </c>
      <c r="E71">
        <v>30.68</v>
      </c>
      <c r="F71">
        <f t="shared" si="3"/>
        <v>47.088999999999999</v>
      </c>
      <c r="H71">
        <v>35.387</v>
      </c>
      <c r="I71">
        <v>40.200000000000003</v>
      </c>
      <c r="J71">
        <f t="shared" si="0"/>
        <v>17.6935</v>
      </c>
      <c r="L71">
        <v>167.172</v>
      </c>
      <c r="M71">
        <v>27.58</v>
      </c>
      <c r="N71">
        <f t="shared" si="1"/>
        <v>83.585999999999999</v>
      </c>
    </row>
    <row r="72" spans="4:18">
      <c r="D72">
        <v>94.284999999999997</v>
      </c>
      <c r="E72">
        <v>30.81</v>
      </c>
      <c r="F72">
        <f t="shared" si="3"/>
        <v>47.142499999999998</v>
      </c>
      <c r="L72">
        <v>167.22399999999999</v>
      </c>
      <c r="M72">
        <v>27.69</v>
      </c>
      <c r="N72">
        <f t="shared" si="1"/>
        <v>83.611999999999995</v>
      </c>
    </row>
    <row r="73" spans="4:18">
      <c r="D73">
        <v>94.337999999999994</v>
      </c>
      <c r="E73">
        <v>30.96</v>
      </c>
      <c r="F73">
        <f t="shared" si="3"/>
        <v>47.168999999999997</v>
      </c>
      <c r="L73">
        <v>167.33500000000001</v>
      </c>
      <c r="M73">
        <v>27.69</v>
      </c>
      <c r="N73">
        <f t="shared" si="1"/>
        <v>83.667500000000004</v>
      </c>
    </row>
    <row r="74" spans="4:18">
      <c r="D74">
        <v>94.396000000000001</v>
      </c>
      <c r="E74">
        <v>31.07</v>
      </c>
      <c r="F74">
        <f t="shared" si="3"/>
        <v>47.198</v>
      </c>
      <c r="L74">
        <v>167.39</v>
      </c>
      <c r="M74">
        <v>27.75</v>
      </c>
      <c r="N74">
        <f t="shared" si="1"/>
        <v>83.694999999999993</v>
      </c>
    </row>
    <row r="75" spans="4:18">
      <c r="D75">
        <v>94.447999999999993</v>
      </c>
      <c r="E75">
        <v>31.07</v>
      </c>
      <c r="F75">
        <f t="shared" si="3"/>
        <v>47.223999999999997</v>
      </c>
      <c r="L75">
        <v>167.44300000000001</v>
      </c>
      <c r="M75">
        <v>27.86</v>
      </c>
      <c r="N75">
        <f t="shared" si="1"/>
        <v>83.721500000000006</v>
      </c>
    </row>
    <row r="76" spans="4:18">
      <c r="D76">
        <v>94.552999999999997</v>
      </c>
      <c r="E76">
        <v>31.27</v>
      </c>
      <c r="F76">
        <f t="shared" si="3"/>
        <v>47.276499999999999</v>
      </c>
      <c r="L76">
        <v>167.49700000000001</v>
      </c>
      <c r="M76">
        <v>27.91</v>
      </c>
      <c r="N76">
        <f t="shared" ref="N76:N139" si="4">(L76/200)*100</f>
        <v>83.748500000000007</v>
      </c>
    </row>
    <row r="77" spans="4:18">
      <c r="D77">
        <v>94.61</v>
      </c>
      <c r="E77">
        <v>31.41</v>
      </c>
      <c r="F77">
        <f t="shared" ref="F77:F140" si="5">(D77/200)*100</f>
        <v>47.305</v>
      </c>
      <c r="L77">
        <v>167.60900000000001</v>
      </c>
      <c r="M77">
        <v>27.94</v>
      </c>
      <c r="N77">
        <f t="shared" si="4"/>
        <v>83.804500000000004</v>
      </c>
    </row>
    <row r="78" spans="4:18">
      <c r="D78">
        <v>94.662000000000006</v>
      </c>
      <c r="E78">
        <v>31.46</v>
      </c>
      <c r="F78">
        <f t="shared" si="5"/>
        <v>47.331000000000003</v>
      </c>
      <c r="L78">
        <v>167.66300000000001</v>
      </c>
      <c r="M78">
        <v>28.14</v>
      </c>
      <c r="N78">
        <f t="shared" si="4"/>
        <v>83.831500000000005</v>
      </c>
    </row>
    <row r="79" spans="4:18">
      <c r="D79">
        <v>94.715999999999994</v>
      </c>
      <c r="E79">
        <v>31.61</v>
      </c>
      <c r="F79">
        <f t="shared" si="5"/>
        <v>47.357999999999997</v>
      </c>
      <c r="L79">
        <v>167.71899999999999</v>
      </c>
      <c r="M79">
        <v>28.17</v>
      </c>
      <c r="N79">
        <f t="shared" si="4"/>
        <v>83.859499999999997</v>
      </c>
    </row>
    <row r="80" spans="4:18">
      <c r="D80">
        <v>94.771000000000001</v>
      </c>
      <c r="E80">
        <v>31.69</v>
      </c>
      <c r="F80">
        <f t="shared" si="5"/>
        <v>47.3855</v>
      </c>
      <c r="L80">
        <v>167.77600000000001</v>
      </c>
      <c r="M80">
        <v>28.2</v>
      </c>
      <c r="N80">
        <f t="shared" si="4"/>
        <v>83.888000000000005</v>
      </c>
    </row>
    <row r="81" spans="4:14">
      <c r="D81">
        <v>94.828000000000003</v>
      </c>
      <c r="E81">
        <v>31.72</v>
      </c>
      <c r="F81">
        <f t="shared" si="5"/>
        <v>47.414000000000001</v>
      </c>
      <c r="L81">
        <v>167.88399999999999</v>
      </c>
      <c r="M81">
        <v>28.29</v>
      </c>
      <c r="N81">
        <f t="shared" si="4"/>
        <v>83.941999999999993</v>
      </c>
    </row>
    <row r="82" spans="4:14">
      <c r="D82">
        <v>94.933999999999997</v>
      </c>
      <c r="E82">
        <v>31.83</v>
      </c>
      <c r="F82">
        <f t="shared" si="5"/>
        <v>47.466999999999999</v>
      </c>
      <c r="L82">
        <v>167.94200000000001</v>
      </c>
      <c r="M82">
        <v>28.48</v>
      </c>
      <c r="N82">
        <f t="shared" si="4"/>
        <v>83.971000000000004</v>
      </c>
    </row>
    <row r="83" spans="4:14">
      <c r="D83">
        <v>94.992000000000004</v>
      </c>
      <c r="E83">
        <v>32.08</v>
      </c>
      <c r="F83">
        <f t="shared" si="5"/>
        <v>47.496000000000002</v>
      </c>
      <c r="L83">
        <v>167.995</v>
      </c>
      <c r="M83">
        <v>28.48</v>
      </c>
      <c r="N83">
        <f t="shared" si="4"/>
        <v>83.997500000000002</v>
      </c>
    </row>
    <row r="84" spans="4:14">
      <c r="D84">
        <v>95.045000000000002</v>
      </c>
      <c r="E84">
        <v>32.08</v>
      </c>
      <c r="F84">
        <f t="shared" si="5"/>
        <v>47.522500000000001</v>
      </c>
      <c r="L84">
        <v>168.048</v>
      </c>
      <c r="M84">
        <v>28.62</v>
      </c>
      <c r="N84">
        <f t="shared" si="4"/>
        <v>84.024000000000001</v>
      </c>
    </row>
    <row r="85" spans="4:14">
      <c r="D85">
        <v>95.096999999999994</v>
      </c>
      <c r="E85">
        <v>32.17</v>
      </c>
      <c r="F85">
        <f t="shared" si="5"/>
        <v>47.548499999999997</v>
      </c>
      <c r="L85">
        <v>168.15899999999999</v>
      </c>
      <c r="M85">
        <v>28.65</v>
      </c>
      <c r="N85">
        <f t="shared" si="4"/>
        <v>84.079499999999996</v>
      </c>
    </row>
    <row r="86" spans="4:14">
      <c r="D86">
        <v>95.153000000000006</v>
      </c>
      <c r="E86">
        <v>32.26</v>
      </c>
      <c r="F86">
        <f t="shared" si="5"/>
        <v>47.576500000000003</v>
      </c>
      <c r="L86">
        <v>168.21100000000001</v>
      </c>
      <c r="M86">
        <v>28.74</v>
      </c>
      <c r="N86">
        <f t="shared" si="4"/>
        <v>84.105500000000006</v>
      </c>
    </row>
    <row r="87" spans="4:14">
      <c r="D87">
        <v>95.21</v>
      </c>
      <c r="E87">
        <v>32.39</v>
      </c>
      <c r="F87">
        <f t="shared" si="5"/>
        <v>47.604999999999997</v>
      </c>
      <c r="L87">
        <v>168.32</v>
      </c>
      <c r="M87">
        <v>28.84</v>
      </c>
      <c r="N87">
        <f t="shared" si="4"/>
        <v>84.16</v>
      </c>
    </row>
    <row r="88" spans="4:14">
      <c r="D88">
        <v>95.260999999999996</v>
      </c>
      <c r="E88">
        <v>32.42</v>
      </c>
      <c r="F88">
        <f t="shared" si="5"/>
        <v>47.630499999999998</v>
      </c>
      <c r="L88">
        <v>168.375</v>
      </c>
      <c r="M88">
        <v>28.9</v>
      </c>
      <c r="N88">
        <f t="shared" si="4"/>
        <v>84.1875</v>
      </c>
    </row>
    <row r="89" spans="4:14">
      <c r="D89">
        <v>95.313999999999993</v>
      </c>
      <c r="E89">
        <v>32.590000000000003</v>
      </c>
      <c r="F89">
        <f t="shared" si="5"/>
        <v>47.656999999999996</v>
      </c>
      <c r="L89">
        <v>168.482</v>
      </c>
      <c r="M89">
        <v>28.96</v>
      </c>
      <c r="N89">
        <f t="shared" si="4"/>
        <v>84.241</v>
      </c>
    </row>
    <row r="90" spans="4:14">
      <c r="D90">
        <v>95.370999999999995</v>
      </c>
      <c r="E90">
        <v>32.68</v>
      </c>
      <c r="F90">
        <f t="shared" si="5"/>
        <v>47.685499999999998</v>
      </c>
      <c r="L90">
        <v>168.53899999999999</v>
      </c>
      <c r="M90">
        <v>29.16</v>
      </c>
      <c r="N90">
        <f t="shared" si="4"/>
        <v>84.269499999999994</v>
      </c>
    </row>
    <row r="91" spans="4:14">
      <c r="D91">
        <v>95.477999999999994</v>
      </c>
      <c r="E91">
        <v>32.79</v>
      </c>
      <c r="F91">
        <f t="shared" si="5"/>
        <v>47.738999999999997</v>
      </c>
      <c r="L91">
        <v>168.59299999999999</v>
      </c>
      <c r="M91">
        <v>29.13</v>
      </c>
      <c r="N91">
        <f t="shared" si="4"/>
        <v>84.296499999999995</v>
      </c>
    </row>
    <row r="92" spans="4:14">
      <c r="D92">
        <v>95.531999999999996</v>
      </c>
      <c r="E92">
        <v>32.869999999999997</v>
      </c>
      <c r="F92">
        <f t="shared" si="5"/>
        <v>47.765999999999998</v>
      </c>
      <c r="L92">
        <v>168.64699999999999</v>
      </c>
      <c r="M92">
        <v>29.24</v>
      </c>
      <c r="N92">
        <f t="shared" si="4"/>
        <v>84.323499999999996</v>
      </c>
    </row>
    <row r="93" spans="4:14">
      <c r="D93">
        <v>95.590999999999994</v>
      </c>
      <c r="E93">
        <v>33.159999999999997</v>
      </c>
      <c r="F93">
        <f t="shared" si="5"/>
        <v>47.795499999999997</v>
      </c>
      <c r="L93">
        <v>168.702</v>
      </c>
      <c r="M93">
        <v>29.32</v>
      </c>
      <c r="N93">
        <f t="shared" si="4"/>
        <v>84.350999999999999</v>
      </c>
    </row>
    <row r="94" spans="4:14">
      <c r="D94">
        <v>95.644999999999996</v>
      </c>
      <c r="E94">
        <v>33.1</v>
      </c>
      <c r="F94">
        <f t="shared" si="5"/>
        <v>47.822499999999998</v>
      </c>
      <c r="L94">
        <v>168.76</v>
      </c>
      <c r="M94">
        <v>29.35</v>
      </c>
      <c r="N94">
        <f t="shared" si="4"/>
        <v>84.38</v>
      </c>
    </row>
    <row r="95" spans="4:14">
      <c r="D95">
        <v>95.753</v>
      </c>
      <c r="E95">
        <v>33.24</v>
      </c>
      <c r="F95">
        <f t="shared" si="5"/>
        <v>47.8765</v>
      </c>
      <c r="L95">
        <v>168.81299999999999</v>
      </c>
      <c r="M95">
        <v>29.44</v>
      </c>
      <c r="N95">
        <f t="shared" si="4"/>
        <v>84.406499999999994</v>
      </c>
    </row>
    <row r="96" spans="4:14">
      <c r="D96">
        <v>95.811000000000007</v>
      </c>
      <c r="E96">
        <v>33.43</v>
      </c>
      <c r="F96">
        <f t="shared" si="5"/>
        <v>47.905500000000004</v>
      </c>
      <c r="L96">
        <v>168.86699999999999</v>
      </c>
      <c r="M96">
        <v>29.46</v>
      </c>
      <c r="N96">
        <f t="shared" si="4"/>
        <v>84.433499999999995</v>
      </c>
    </row>
    <row r="97" spans="4:14">
      <c r="D97">
        <v>95.864000000000004</v>
      </c>
      <c r="E97">
        <v>33.49</v>
      </c>
      <c r="F97">
        <f t="shared" si="5"/>
        <v>47.932000000000002</v>
      </c>
      <c r="L97">
        <v>168.92400000000001</v>
      </c>
      <c r="M97">
        <v>29.58</v>
      </c>
      <c r="N97">
        <f t="shared" si="4"/>
        <v>84.462000000000003</v>
      </c>
    </row>
    <row r="98" spans="4:14">
      <c r="D98">
        <v>95.918000000000006</v>
      </c>
      <c r="E98">
        <v>33.61</v>
      </c>
      <c r="F98">
        <f t="shared" si="5"/>
        <v>47.959000000000003</v>
      </c>
      <c r="L98">
        <v>169.03200000000001</v>
      </c>
      <c r="M98">
        <v>29.58</v>
      </c>
      <c r="N98">
        <f t="shared" si="4"/>
        <v>84.516000000000005</v>
      </c>
    </row>
    <row r="99" spans="4:14">
      <c r="D99">
        <v>96.031000000000006</v>
      </c>
      <c r="E99">
        <v>33.659999999999997</v>
      </c>
      <c r="F99">
        <f t="shared" si="5"/>
        <v>48.015500000000003</v>
      </c>
      <c r="L99">
        <v>169.08699999999999</v>
      </c>
      <c r="M99">
        <v>29.69</v>
      </c>
      <c r="N99">
        <f t="shared" si="4"/>
        <v>84.543499999999995</v>
      </c>
    </row>
    <row r="100" spans="4:14">
      <c r="D100">
        <v>96.082999999999998</v>
      </c>
      <c r="E100">
        <v>33.94</v>
      </c>
      <c r="F100">
        <f t="shared" si="5"/>
        <v>48.041499999999999</v>
      </c>
      <c r="L100">
        <v>169.14599999999999</v>
      </c>
      <c r="M100">
        <v>29.78</v>
      </c>
      <c r="N100">
        <f t="shared" si="4"/>
        <v>84.572999999999993</v>
      </c>
    </row>
    <row r="101" spans="4:14">
      <c r="D101">
        <v>96.137</v>
      </c>
      <c r="E101">
        <v>33.94</v>
      </c>
      <c r="F101">
        <f t="shared" si="5"/>
        <v>48.0685</v>
      </c>
      <c r="L101">
        <v>169.2</v>
      </c>
      <c r="M101">
        <v>29.78</v>
      </c>
      <c r="N101">
        <f t="shared" si="4"/>
        <v>84.6</v>
      </c>
    </row>
    <row r="102" spans="4:14">
      <c r="D102">
        <v>96.194999999999993</v>
      </c>
      <c r="E102">
        <v>34.08</v>
      </c>
      <c r="F102">
        <f t="shared" si="5"/>
        <v>48.097499999999997</v>
      </c>
      <c r="L102">
        <v>169.30699999999999</v>
      </c>
      <c r="M102">
        <v>29.81</v>
      </c>
      <c r="N102">
        <f t="shared" si="4"/>
        <v>84.653499999999994</v>
      </c>
    </row>
    <row r="103" spans="4:14">
      <c r="D103">
        <v>96.248999999999995</v>
      </c>
      <c r="E103">
        <v>34.08</v>
      </c>
      <c r="F103">
        <f t="shared" si="5"/>
        <v>48.124499999999998</v>
      </c>
      <c r="L103">
        <v>169.364</v>
      </c>
      <c r="M103">
        <v>29.91</v>
      </c>
      <c r="N103">
        <f t="shared" si="4"/>
        <v>84.682000000000002</v>
      </c>
    </row>
    <row r="104" spans="4:14">
      <c r="D104">
        <v>96.355999999999995</v>
      </c>
      <c r="E104">
        <v>34.29</v>
      </c>
      <c r="F104">
        <f t="shared" si="5"/>
        <v>48.177999999999997</v>
      </c>
      <c r="L104">
        <v>169.417</v>
      </c>
      <c r="M104">
        <v>29.97</v>
      </c>
      <c r="N104">
        <f t="shared" si="4"/>
        <v>84.708500000000001</v>
      </c>
    </row>
    <row r="105" spans="4:14">
      <c r="D105">
        <v>96.412999999999997</v>
      </c>
      <c r="E105">
        <v>34.450000000000003</v>
      </c>
      <c r="F105">
        <f t="shared" si="5"/>
        <v>48.206499999999998</v>
      </c>
      <c r="L105">
        <v>169.47</v>
      </c>
      <c r="M105">
        <v>30.06</v>
      </c>
      <c r="N105">
        <f t="shared" si="4"/>
        <v>84.734999999999999</v>
      </c>
    </row>
    <row r="106" spans="4:14">
      <c r="D106">
        <v>96.466999999999999</v>
      </c>
      <c r="E106">
        <v>34.53</v>
      </c>
      <c r="F106">
        <f t="shared" si="5"/>
        <v>48.233499999999999</v>
      </c>
      <c r="L106">
        <v>169.52600000000001</v>
      </c>
      <c r="M106">
        <v>30.14</v>
      </c>
      <c r="N106">
        <f t="shared" si="4"/>
        <v>84.763000000000005</v>
      </c>
    </row>
    <row r="107" spans="4:14">
      <c r="D107">
        <v>96.52</v>
      </c>
      <c r="E107">
        <v>34.65</v>
      </c>
      <c r="F107">
        <f t="shared" si="5"/>
        <v>48.26</v>
      </c>
      <c r="L107">
        <v>169.63399999999999</v>
      </c>
      <c r="M107">
        <v>30.06</v>
      </c>
      <c r="N107">
        <f t="shared" si="4"/>
        <v>84.816999999999993</v>
      </c>
    </row>
    <row r="108" spans="4:14">
      <c r="D108">
        <v>96.576999999999998</v>
      </c>
      <c r="E108">
        <v>34.79</v>
      </c>
      <c r="F108">
        <f t="shared" si="5"/>
        <v>48.288499999999999</v>
      </c>
      <c r="L108">
        <v>169.68799999999999</v>
      </c>
      <c r="M108">
        <v>30.17</v>
      </c>
      <c r="N108">
        <f t="shared" si="4"/>
        <v>84.843999999999994</v>
      </c>
    </row>
    <row r="109" spans="4:14">
      <c r="D109">
        <v>96.632999999999996</v>
      </c>
      <c r="E109">
        <v>34.79</v>
      </c>
      <c r="F109">
        <f t="shared" si="5"/>
        <v>48.316499999999998</v>
      </c>
      <c r="L109">
        <v>169.74600000000001</v>
      </c>
      <c r="M109">
        <v>30.14</v>
      </c>
      <c r="N109">
        <f t="shared" si="4"/>
        <v>84.873000000000005</v>
      </c>
    </row>
    <row r="110" spans="4:14">
      <c r="D110">
        <v>96.686000000000007</v>
      </c>
      <c r="E110">
        <v>34.979999999999997</v>
      </c>
      <c r="F110">
        <f t="shared" si="5"/>
        <v>48.343000000000004</v>
      </c>
      <c r="L110">
        <v>169.8</v>
      </c>
      <c r="M110">
        <v>30.09</v>
      </c>
      <c r="N110">
        <f t="shared" si="4"/>
        <v>84.9</v>
      </c>
    </row>
    <row r="111" spans="4:14">
      <c r="D111">
        <v>96.741</v>
      </c>
      <c r="E111">
        <v>35.01</v>
      </c>
      <c r="F111">
        <f t="shared" si="5"/>
        <v>48.3705</v>
      </c>
      <c r="L111">
        <v>169.90799999999999</v>
      </c>
      <c r="M111">
        <v>30.03</v>
      </c>
      <c r="N111">
        <f t="shared" si="4"/>
        <v>84.953999999999994</v>
      </c>
    </row>
    <row r="112" spans="4:14">
      <c r="D112">
        <v>96.799000000000007</v>
      </c>
      <c r="E112">
        <v>35.18</v>
      </c>
      <c r="F112">
        <f t="shared" si="5"/>
        <v>48.399500000000003</v>
      </c>
      <c r="L112">
        <v>169.965</v>
      </c>
      <c r="M112">
        <v>30</v>
      </c>
      <c r="N112">
        <f t="shared" si="4"/>
        <v>84.982500000000002</v>
      </c>
    </row>
    <row r="113" spans="4:14">
      <c r="D113">
        <v>96.852000000000004</v>
      </c>
      <c r="E113">
        <v>35.18</v>
      </c>
      <c r="F113">
        <f t="shared" si="5"/>
        <v>48.426000000000002</v>
      </c>
      <c r="L113">
        <v>170.018</v>
      </c>
      <c r="M113">
        <v>29.91</v>
      </c>
      <c r="N113">
        <f t="shared" si="4"/>
        <v>85.009</v>
      </c>
    </row>
    <row r="114" spans="4:14">
      <c r="D114">
        <v>96.906000000000006</v>
      </c>
      <c r="E114">
        <v>35.36</v>
      </c>
      <c r="F114">
        <f t="shared" si="5"/>
        <v>48.453000000000003</v>
      </c>
      <c r="L114">
        <v>170.071</v>
      </c>
      <c r="M114">
        <v>29.97</v>
      </c>
      <c r="N114">
        <f t="shared" si="4"/>
        <v>85.035499999999999</v>
      </c>
    </row>
    <row r="115" spans="4:14">
      <c r="D115">
        <v>96.962000000000003</v>
      </c>
      <c r="E115">
        <v>35.4</v>
      </c>
      <c r="F115">
        <f t="shared" si="5"/>
        <v>48.481000000000002</v>
      </c>
      <c r="L115">
        <v>170.126</v>
      </c>
      <c r="M115">
        <v>30.06</v>
      </c>
      <c r="N115">
        <f t="shared" si="4"/>
        <v>85.063000000000002</v>
      </c>
    </row>
    <row r="116" spans="4:14">
      <c r="D116">
        <v>97.02</v>
      </c>
      <c r="E116">
        <v>35.49</v>
      </c>
      <c r="F116">
        <f t="shared" si="5"/>
        <v>48.51</v>
      </c>
      <c r="L116">
        <v>170.18199999999999</v>
      </c>
      <c r="M116">
        <v>30.03</v>
      </c>
      <c r="N116">
        <f t="shared" si="4"/>
        <v>85.090999999999994</v>
      </c>
    </row>
    <row r="117" spans="4:14">
      <c r="D117">
        <v>97.072000000000003</v>
      </c>
      <c r="E117">
        <v>35.630000000000003</v>
      </c>
      <c r="F117">
        <f t="shared" si="5"/>
        <v>48.536000000000001</v>
      </c>
      <c r="L117">
        <v>170.23400000000001</v>
      </c>
      <c r="M117">
        <v>30.12</v>
      </c>
      <c r="N117">
        <f t="shared" si="4"/>
        <v>85.117000000000004</v>
      </c>
    </row>
    <row r="118" spans="4:14">
      <c r="D118">
        <v>97.126999999999995</v>
      </c>
      <c r="E118">
        <v>35.72</v>
      </c>
      <c r="F118">
        <f t="shared" si="5"/>
        <v>48.563499999999998</v>
      </c>
      <c r="L118">
        <v>170.28800000000001</v>
      </c>
      <c r="M118">
        <v>30.2</v>
      </c>
      <c r="N118">
        <f t="shared" si="4"/>
        <v>85.144000000000005</v>
      </c>
    </row>
    <row r="119" spans="4:14">
      <c r="D119">
        <v>97.185000000000002</v>
      </c>
      <c r="E119">
        <v>35.89</v>
      </c>
      <c r="F119">
        <f t="shared" si="5"/>
        <v>48.592500000000001</v>
      </c>
      <c r="L119">
        <v>170.345</v>
      </c>
      <c r="M119">
        <v>30.26</v>
      </c>
      <c r="N119">
        <f t="shared" si="4"/>
        <v>85.172499999999999</v>
      </c>
    </row>
    <row r="120" spans="4:14">
      <c r="D120">
        <v>97.241</v>
      </c>
      <c r="E120">
        <v>35.89</v>
      </c>
      <c r="F120">
        <f t="shared" si="5"/>
        <v>48.6205</v>
      </c>
      <c r="L120">
        <v>170.399</v>
      </c>
      <c r="M120">
        <v>30.26</v>
      </c>
      <c r="N120">
        <f t="shared" si="4"/>
        <v>85.1995</v>
      </c>
    </row>
    <row r="121" spans="4:14">
      <c r="D121">
        <v>97.293000000000006</v>
      </c>
      <c r="E121">
        <v>36.03</v>
      </c>
      <c r="F121">
        <f t="shared" si="5"/>
        <v>48.646500000000003</v>
      </c>
      <c r="L121">
        <v>170.50399999999999</v>
      </c>
      <c r="M121">
        <v>30.33</v>
      </c>
      <c r="N121">
        <f t="shared" si="4"/>
        <v>85.251999999999995</v>
      </c>
    </row>
    <row r="122" spans="4:14">
      <c r="D122">
        <v>97.406999999999996</v>
      </c>
      <c r="E122">
        <v>36.17</v>
      </c>
      <c r="F122">
        <f t="shared" si="5"/>
        <v>48.703499999999998</v>
      </c>
      <c r="L122">
        <v>170.56</v>
      </c>
      <c r="M122">
        <v>30.51</v>
      </c>
      <c r="N122">
        <f t="shared" si="4"/>
        <v>85.28</v>
      </c>
    </row>
    <row r="123" spans="4:14">
      <c r="D123">
        <v>97.459000000000003</v>
      </c>
      <c r="E123">
        <v>36.26</v>
      </c>
      <c r="F123">
        <f t="shared" si="5"/>
        <v>48.729500000000002</v>
      </c>
      <c r="L123">
        <v>170.613</v>
      </c>
      <c r="M123">
        <v>30.48</v>
      </c>
      <c r="N123">
        <f t="shared" si="4"/>
        <v>85.3065</v>
      </c>
    </row>
    <row r="124" spans="4:14">
      <c r="D124">
        <v>97.513000000000005</v>
      </c>
      <c r="E124">
        <v>36.4</v>
      </c>
      <c r="F124">
        <f t="shared" si="5"/>
        <v>48.756500000000003</v>
      </c>
      <c r="L124">
        <v>170.66499999999999</v>
      </c>
      <c r="M124">
        <v>30.56</v>
      </c>
      <c r="N124">
        <f t="shared" si="4"/>
        <v>85.332499999999996</v>
      </c>
    </row>
    <row r="125" spans="4:14">
      <c r="D125">
        <v>97.57</v>
      </c>
      <c r="E125">
        <v>36.5</v>
      </c>
      <c r="F125">
        <f t="shared" si="5"/>
        <v>48.784999999999997</v>
      </c>
      <c r="L125">
        <v>170.721</v>
      </c>
      <c r="M125">
        <v>30.68</v>
      </c>
      <c r="N125">
        <f t="shared" si="4"/>
        <v>85.360500000000002</v>
      </c>
    </row>
    <row r="126" spans="4:14">
      <c r="D126">
        <v>97.626999999999995</v>
      </c>
      <c r="E126">
        <v>36.590000000000003</v>
      </c>
      <c r="F126">
        <f t="shared" si="5"/>
        <v>48.813499999999998</v>
      </c>
      <c r="L126">
        <v>170.77600000000001</v>
      </c>
      <c r="M126">
        <v>30.62</v>
      </c>
      <c r="N126">
        <f t="shared" si="4"/>
        <v>85.388000000000005</v>
      </c>
    </row>
    <row r="127" spans="4:14">
      <c r="D127">
        <v>97.680999999999997</v>
      </c>
      <c r="E127">
        <v>36.729999999999997</v>
      </c>
      <c r="F127">
        <f t="shared" si="5"/>
        <v>48.840499999999999</v>
      </c>
      <c r="L127">
        <v>170.828</v>
      </c>
      <c r="M127">
        <v>30.79</v>
      </c>
      <c r="N127">
        <f t="shared" si="4"/>
        <v>85.414000000000001</v>
      </c>
    </row>
    <row r="128" spans="4:14">
      <c r="D128">
        <v>97.736000000000004</v>
      </c>
      <c r="E128">
        <v>36.79</v>
      </c>
      <c r="F128">
        <f t="shared" si="5"/>
        <v>48.868000000000002</v>
      </c>
      <c r="L128">
        <v>170.88300000000001</v>
      </c>
      <c r="M128">
        <v>30.82</v>
      </c>
      <c r="N128">
        <f t="shared" si="4"/>
        <v>85.441500000000005</v>
      </c>
    </row>
    <row r="129" spans="4:14">
      <c r="D129">
        <v>97.795000000000002</v>
      </c>
      <c r="E129">
        <v>36.93</v>
      </c>
      <c r="F129">
        <f t="shared" si="5"/>
        <v>48.897500000000001</v>
      </c>
      <c r="L129">
        <v>170.94</v>
      </c>
      <c r="M129">
        <v>30.96</v>
      </c>
      <c r="N129">
        <f t="shared" si="4"/>
        <v>85.47</v>
      </c>
    </row>
    <row r="130" spans="4:14">
      <c r="D130">
        <v>97.850999999999999</v>
      </c>
      <c r="E130">
        <v>36.979999999999997</v>
      </c>
      <c r="F130">
        <f t="shared" si="5"/>
        <v>48.9255</v>
      </c>
      <c r="L130">
        <v>170.994</v>
      </c>
      <c r="M130">
        <v>30.87</v>
      </c>
      <c r="N130">
        <f t="shared" si="4"/>
        <v>85.497</v>
      </c>
    </row>
    <row r="131" spans="4:14">
      <c r="D131">
        <v>97.905000000000001</v>
      </c>
      <c r="E131">
        <v>37.15</v>
      </c>
      <c r="F131">
        <f t="shared" si="5"/>
        <v>48.952500000000001</v>
      </c>
      <c r="L131">
        <v>171.04599999999999</v>
      </c>
      <c r="M131">
        <v>31.04</v>
      </c>
      <c r="N131">
        <f t="shared" si="4"/>
        <v>85.522999999999996</v>
      </c>
    </row>
    <row r="132" spans="4:14">
      <c r="D132">
        <v>97.962000000000003</v>
      </c>
      <c r="E132">
        <v>37.15</v>
      </c>
      <c r="F132">
        <f t="shared" si="5"/>
        <v>48.981000000000002</v>
      </c>
      <c r="L132">
        <v>171.15700000000001</v>
      </c>
      <c r="M132">
        <v>31.1</v>
      </c>
      <c r="N132">
        <f t="shared" si="4"/>
        <v>85.578500000000005</v>
      </c>
    </row>
    <row r="133" spans="4:14">
      <c r="D133">
        <v>98.02</v>
      </c>
      <c r="E133">
        <v>37.33</v>
      </c>
      <c r="F133">
        <f t="shared" si="5"/>
        <v>49.01</v>
      </c>
      <c r="L133">
        <v>171.21</v>
      </c>
      <c r="M133">
        <v>31.13</v>
      </c>
      <c r="N133">
        <f t="shared" si="4"/>
        <v>85.605000000000004</v>
      </c>
    </row>
    <row r="134" spans="4:14">
      <c r="D134">
        <v>98.072999999999993</v>
      </c>
      <c r="E134">
        <v>37.380000000000003</v>
      </c>
      <c r="F134">
        <f t="shared" si="5"/>
        <v>49.036499999999997</v>
      </c>
      <c r="L134">
        <v>171.262</v>
      </c>
      <c r="M134">
        <v>31.3</v>
      </c>
      <c r="N134">
        <f t="shared" si="4"/>
        <v>85.631</v>
      </c>
    </row>
    <row r="135" spans="4:14">
      <c r="D135">
        <v>98.128</v>
      </c>
      <c r="E135">
        <v>37.58</v>
      </c>
      <c r="F135">
        <f t="shared" si="5"/>
        <v>49.064</v>
      </c>
      <c r="L135">
        <v>171.31700000000001</v>
      </c>
      <c r="M135">
        <v>31.35</v>
      </c>
      <c r="N135">
        <f t="shared" si="4"/>
        <v>85.658500000000004</v>
      </c>
    </row>
    <row r="136" spans="4:14">
      <c r="D136">
        <v>98.186000000000007</v>
      </c>
      <c r="E136">
        <v>37.659999999999997</v>
      </c>
      <c r="F136">
        <f t="shared" si="5"/>
        <v>49.093000000000004</v>
      </c>
      <c r="L136">
        <v>171.37299999999999</v>
      </c>
      <c r="M136">
        <v>31.35</v>
      </c>
      <c r="N136">
        <f t="shared" si="4"/>
        <v>85.686499999999995</v>
      </c>
    </row>
    <row r="137" spans="4:14">
      <c r="D137">
        <v>98.241</v>
      </c>
      <c r="E137">
        <v>37.659999999999997</v>
      </c>
      <c r="F137">
        <f t="shared" si="5"/>
        <v>49.1205</v>
      </c>
      <c r="L137">
        <v>171.42400000000001</v>
      </c>
      <c r="M137">
        <v>31.55</v>
      </c>
      <c r="N137">
        <f t="shared" si="4"/>
        <v>85.712000000000003</v>
      </c>
    </row>
    <row r="138" spans="4:14">
      <c r="D138">
        <v>98.293999999999997</v>
      </c>
      <c r="E138">
        <v>37.83</v>
      </c>
      <c r="F138">
        <f t="shared" si="5"/>
        <v>49.146999999999998</v>
      </c>
      <c r="L138">
        <v>171.47800000000001</v>
      </c>
      <c r="M138">
        <v>31.55</v>
      </c>
      <c r="N138">
        <f t="shared" si="4"/>
        <v>85.739000000000004</v>
      </c>
    </row>
    <row r="139" spans="4:14">
      <c r="D139">
        <v>98.35</v>
      </c>
      <c r="E139">
        <v>37.92</v>
      </c>
      <c r="F139">
        <f t="shared" si="5"/>
        <v>49.174999999999997</v>
      </c>
      <c r="L139">
        <v>171.536</v>
      </c>
      <c r="M139">
        <v>31.72</v>
      </c>
      <c r="N139">
        <f t="shared" si="4"/>
        <v>85.768000000000001</v>
      </c>
    </row>
    <row r="140" spans="4:14">
      <c r="D140">
        <v>98.408000000000001</v>
      </c>
      <c r="E140">
        <v>38.049999999999997</v>
      </c>
      <c r="F140">
        <f t="shared" si="5"/>
        <v>49.204000000000001</v>
      </c>
      <c r="L140">
        <v>171.59100000000001</v>
      </c>
      <c r="M140">
        <v>31.69</v>
      </c>
      <c r="N140">
        <f t="shared" ref="N140:N203" si="6">(L140/200)*100</f>
        <v>85.795500000000004</v>
      </c>
    </row>
    <row r="141" spans="4:14">
      <c r="D141">
        <v>98.460999999999999</v>
      </c>
      <c r="E141">
        <v>38.049999999999997</v>
      </c>
      <c r="F141">
        <f t="shared" ref="F141:F157" si="7">(D141/200)*100</f>
        <v>49.230499999999999</v>
      </c>
      <c r="L141">
        <v>171.643</v>
      </c>
      <c r="M141">
        <v>31.81</v>
      </c>
      <c r="N141">
        <f t="shared" si="6"/>
        <v>85.8215</v>
      </c>
    </row>
    <row r="142" spans="4:14">
      <c r="D142">
        <v>98.516000000000005</v>
      </c>
      <c r="E142">
        <v>38.229999999999997</v>
      </c>
      <c r="F142">
        <f t="shared" si="7"/>
        <v>49.258000000000003</v>
      </c>
      <c r="L142">
        <v>171.69800000000001</v>
      </c>
      <c r="M142">
        <v>31.81</v>
      </c>
      <c r="N142">
        <f t="shared" si="6"/>
        <v>85.849000000000004</v>
      </c>
    </row>
    <row r="143" spans="4:14">
      <c r="D143">
        <v>98.572999999999993</v>
      </c>
      <c r="E143">
        <v>38.31</v>
      </c>
      <c r="F143">
        <f t="shared" si="7"/>
        <v>49.286499999999997</v>
      </c>
      <c r="L143">
        <v>171.80799999999999</v>
      </c>
      <c r="M143">
        <v>31.86</v>
      </c>
      <c r="N143">
        <f t="shared" si="6"/>
        <v>85.903999999999996</v>
      </c>
    </row>
    <row r="144" spans="4:14">
      <c r="D144">
        <v>98.683000000000007</v>
      </c>
      <c r="E144">
        <v>38.450000000000003</v>
      </c>
      <c r="F144">
        <f t="shared" si="7"/>
        <v>49.341500000000003</v>
      </c>
      <c r="L144">
        <v>171.86199999999999</v>
      </c>
      <c r="M144">
        <v>32.03</v>
      </c>
      <c r="N144">
        <f t="shared" si="6"/>
        <v>85.930999999999997</v>
      </c>
    </row>
    <row r="145" spans="4:14">
      <c r="D145">
        <v>98.736000000000004</v>
      </c>
      <c r="E145">
        <v>38.56</v>
      </c>
      <c r="F145">
        <f t="shared" si="7"/>
        <v>49.368000000000002</v>
      </c>
      <c r="L145">
        <v>171.917</v>
      </c>
      <c r="M145">
        <v>32.14</v>
      </c>
      <c r="N145">
        <f t="shared" si="6"/>
        <v>85.958500000000001</v>
      </c>
    </row>
    <row r="146" spans="4:14">
      <c r="D146">
        <v>98.793999999999997</v>
      </c>
      <c r="E146">
        <v>38.76</v>
      </c>
      <c r="F146">
        <f t="shared" si="7"/>
        <v>49.396999999999998</v>
      </c>
      <c r="L146">
        <v>171.97399999999999</v>
      </c>
      <c r="M146">
        <v>32.14</v>
      </c>
      <c r="N146">
        <f t="shared" si="6"/>
        <v>85.986999999999995</v>
      </c>
    </row>
    <row r="147" spans="4:14">
      <c r="D147">
        <v>98.899000000000001</v>
      </c>
      <c r="E147">
        <v>38.909999999999997</v>
      </c>
      <c r="F147">
        <f t="shared" si="7"/>
        <v>49.4495</v>
      </c>
      <c r="L147">
        <v>172.08</v>
      </c>
      <c r="M147">
        <v>32.200000000000003</v>
      </c>
      <c r="N147">
        <f t="shared" si="6"/>
        <v>86.04</v>
      </c>
    </row>
    <row r="148" spans="4:14">
      <c r="D148">
        <v>98.953999999999994</v>
      </c>
      <c r="E148">
        <v>38.950000000000003</v>
      </c>
      <c r="F148">
        <f t="shared" si="7"/>
        <v>49.476999999999997</v>
      </c>
      <c r="L148">
        <v>172.13800000000001</v>
      </c>
      <c r="M148">
        <v>32.39</v>
      </c>
      <c r="N148">
        <f t="shared" si="6"/>
        <v>86.069000000000003</v>
      </c>
    </row>
    <row r="149" spans="4:14">
      <c r="D149">
        <v>99.012</v>
      </c>
      <c r="E149">
        <v>39.18</v>
      </c>
      <c r="F149">
        <f t="shared" si="7"/>
        <v>49.506</v>
      </c>
      <c r="L149">
        <v>172.19200000000001</v>
      </c>
      <c r="M149">
        <v>32.36</v>
      </c>
      <c r="N149">
        <f t="shared" si="6"/>
        <v>86.096000000000004</v>
      </c>
    </row>
    <row r="150" spans="4:14">
      <c r="D150">
        <v>99.063999999999993</v>
      </c>
      <c r="E150">
        <v>39.130000000000003</v>
      </c>
      <c r="F150">
        <f t="shared" si="7"/>
        <v>49.531999999999996</v>
      </c>
      <c r="L150">
        <v>172.245</v>
      </c>
      <c r="M150">
        <v>32.54</v>
      </c>
      <c r="N150">
        <f t="shared" si="6"/>
        <v>86.122500000000002</v>
      </c>
    </row>
    <row r="151" spans="4:14">
      <c r="D151">
        <v>99.117000000000004</v>
      </c>
      <c r="E151">
        <v>39.380000000000003</v>
      </c>
      <c r="F151">
        <f t="shared" si="7"/>
        <v>49.558500000000002</v>
      </c>
      <c r="L151">
        <v>172.29900000000001</v>
      </c>
      <c r="M151">
        <v>32.54</v>
      </c>
      <c r="N151">
        <f t="shared" si="6"/>
        <v>86.149500000000003</v>
      </c>
    </row>
    <row r="152" spans="4:14">
      <c r="D152">
        <v>99.228999999999999</v>
      </c>
      <c r="E152">
        <v>39.380000000000003</v>
      </c>
      <c r="F152">
        <f t="shared" si="7"/>
        <v>49.6145</v>
      </c>
      <c r="L152">
        <v>172.35599999999999</v>
      </c>
      <c r="M152">
        <v>32.619999999999997</v>
      </c>
      <c r="N152">
        <f t="shared" si="6"/>
        <v>86.177999999999997</v>
      </c>
    </row>
    <row r="153" spans="4:14">
      <c r="D153">
        <v>99.281000000000006</v>
      </c>
      <c r="E153">
        <v>39.630000000000003</v>
      </c>
      <c r="F153">
        <f t="shared" si="7"/>
        <v>49.640500000000003</v>
      </c>
      <c r="L153">
        <v>172.41</v>
      </c>
      <c r="M153">
        <v>32.68</v>
      </c>
      <c r="N153">
        <f t="shared" si="6"/>
        <v>86.204999999999998</v>
      </c>
    </row>
    <row r="154" spans="4:14">
      <c r="D154">
        <v>99.335999999999999</v>
      </c>
      <c r="E154">
        <v>39.69</v>
      </c>
      <c r="F154">
        <f t="shared" si="7"/>
        <v>49.667999999999999</v>
      </c>
      <c r="L154">
        <v>172.46299999999999</v>
      </c>
      <c r="M154">
        <v>32.770000000000003</v>
      </c>
      <c r="N154">
        <f t="shared" si="6"/>
        <v>86.231499999999997</v>
      </c>
    </row>
    <row r="155" spans="4:14">
      <c r="D155">
        <v>99.394000000000005</v>
      </c>
      <c r="E155">
        <v>39.799999999999997</v>
      </c>
      <c r="F155">
        <f t="shared" si="7"/>
        <v>49.697000000000003</v>
      </c>
      <c r="L155">
        <v>172.51900000000001</v>
      </c>
      <c r="M155">
        <v>32.85</v>
      </c>
      <c r="N155">
        <f t="shared" si="6"/>
        <v>86.259500000000003</v>
      </c>
    </row>
    <row r="156" spans="4:14">
      <c r="D156">
        <v>99.5</v>
      </c>
      <c r="E156">
        <v>39.97</v>
      </c>
      <c r="F156">
        <f t="shared" si="7"/>
        <v>49.75</v>
      </c>
      <c r="L156">
        <v>172.57499999999999</v>
      </c>
      <c r="M156">
        <v>32.770000000000003</v>
      </c>
      <c r="N156">
        <f t="shared" si="6"/>
        <v>86.287499999999994</v>
      </c>
    </row>
    <row r="157" spans="4:14">
      <c r="D157">
        <v>99.555000000000007</v>
      </c>
      <c r="E157">
        <v>40.049999999999997</v>
      </c>
      <c r="F157">
        <f t="shared" si="7"/>
        <v>49.777500000000003</v>
      </c>
      <c r="L157">
        <v>172.68199999999999</v>
      </c>
      <c r="M157">
        <v>32.93</v>
      </c>
      <c r="N157">
        <f t="shared" si="6"/>
        <v>86.340999999999994</v>
      </c>
    </row>
    <row r="158" spans="4:14">
      <c r="L158">
        <v>172.74100000000001</v>
      </c>
      <c r="M158">
        <v>33.159999999999997</v>
      </c>
      <c r="N158">
        <f t="shared" si="6"/>
        <v>86.370500000000007</v>
      </c>
    </row>
    <row r="159" spans="4:14">
      <c r="L159">
        <v>172.79499999999999</v>
      </c>
      <c r="M159">
        <v>33.07</v>
      </c>
      <c r="N159">
        <f t="shared" si="6"/>
        <v>86.397499999999994</v>
      </c>
    </row>
    <row r="160" spans="4:14">
      <c r="L160">
        <v>172.84800000000001</v>
      </c>
      <c r="M160">
        <v>33.270000000000003</v>
      </c>
      <c r="N160">
        <f t="shared" si="6"/>
        <v>86.424000000000007</v>
      </c>
    </row>
    <row r="161" spans="12:14">
      <c r="L161">
        <v>172.904</v>
      </c>
      <c r="M161">
        <v>33.33</v>
      </c>
      <c r="N161">
        <f t="shared" si="6"/>
        <v>86.451999999999998</v>
      </c>
    </row>
    <row r="162" spans="12:14">
      <c r="L162">
        <v>172.96199999999999</v>
      </c>
      <c r="M162">
        <v>33.33</v>
      </c>
      <c r="N162">
        <f t="shared" si="6"/>
        <v>86.480999999999995</v>
      </c>
    </row>
    <row r="163" spans="12:14">
      <c r="L163">
        <v>173.01499999999999</v>
      </c>
      <c r="M163">
        <v>33.43</v>
      </c>
      <c r="N163">
        <f t="shared" si="6"/>
        <v>86.507499999999993</v>
      </c>
    </row>
    <row r="164" spans="12:14">
      <c r="L164">
        <v>173.06899999999999</v>
      </c>
      <c r="M164">
        <v>33.46</v>
      </c>
      <c r="N164">
        <f t="shared" si="6"/>
        <v>86.534499999999994</v>
      </c>
    </row>
    <row r="165" spans="12:14">
      <c r="L165">
        <v>173.18100000000001</v>
      </c>
      <c r="M165">
        <v>33.49</v>
      </c>
      <c r="N165">
        <f t="shared" si="6"/>
        <v>86.590500000000006</v>
      </c>
    </row>
    <row r="166" spans="12:14">
      <c r="L166">
        <v>173.23400000000001</v>
      </c>
      <c r="M166">
        <v>33.69</v>
      </c>
      <c r="N166">
        <f t="shared" si="6"/>
        <v>86.617000000000004</v>
      </c>
    </row>
    <row r="167" spans="12:14">
      <c r="L167">
        <v>173.28800000000001</v>
      </c>
      <c r="M167">
        <v>33.78</v>
      </c>
      <c r="N167">
        <f t="shared" si="6"/>
        <v>86.644000000000005</v>
      </c>
    </row>
    <row r="168" spans="12:14">
      <c r="L168">
        <v>173.34700000000001</v>
      </c>
      <c r="M168">
        <v>33.869999999999997</v>
      </c>
      <c r="N168">
        <f t="shared" si="6"/>
        <v>86.673500000000004</v>
      </c>
    </row>
    <row r="169" spans="12:14">
      <c r="L169">
        <v>173.4</v>
      </c>
      <c r="M169">
        <v>33.81</v>
      </c>
      <c r="N169">
        <f t="shared" si="6"/>
        <v>86.7</v>
      </c>
    </row>
    <row r="170" spans="12:14">
      <c r="L170">
        <v>173.452</v>
      </c>
      <c r="M170">
        <v>33.94</v>
      </c>
      <c r="N170">
        <f t="shared" si="6"/>
        <v>86.725999999999999</v>
      </c>
    </row>
    <row r="171" spans="12:14">
      <c r="L171">
        <v>173.50899999999999</v>
      </c>
      <c r="M171">
        <v>34</v>
      </c>
      <c r="N171">
        <f t="shared" si="6"/>
        <v>86.754499999999993</v>
      </c>
    </row>
    <row r="172" spans="12:14">
      <c r="L172">
        <v>173.566</v>
      </c>
      <c r="M172">
        <v>34.06</v>
      </c>
      <c r="N172">
        <f t="shared" si="6"/>
        <v>86.783000000000001</v>
      </c>
    </row>
    <row r="173" spans="12:14">
      <c r="L173">
        <v>173.61799999999999</v>
      </c>
      <c r="M173">
        <v>34.17</v>
      </c>
      <c r="N173">
        <f t="shared" si="6"/>
        <v>86.808999999999997</v>
      </c>
    </row>
    <row r="174" spans="12:14">
      <c r="L174">
        <v>173.72800000000001</v>
      </c>
      <c r="M174">
        <v>34.200000000000003</v>
      </c>
      <c r="N174">
        <f t="shared" si="6"/>
        <v>86.864000000000004</v>
      </c>
    </row>
    <row r="175" spans="12:14">
      <c r="L175">
        <v>173.78399999999999</v>
      </c>
      <c r="M175">
        <v>34.29</v>
      </c>
      <c r="N175">
        <f t="shared" si="6"/>
        <v>86.891999999999996</v>
      </c>
    </row>
    <row r="176" spans="12:14">
      <c r="L176">
        <v>173.83699999999999</v>
      </c>
      <c r="M176">
        <v>34.450000000000003</v>
      </c>
      <c r="N176">
        <f t="shared" si="6"/>
        <v>86.918499999999995</v>
      </c>
    </row>
    <row r="177" spans="12:14">
      <c r="L177">
        <v>173.89099999999999</v>
      </c>
      <c r="M177">
        <v>34.450000000000003</v>
      </c>
      <c r="N177">
        <f t="shared" si="6"/>
        <v>86.945499999999996</v>
      </c>
    </row>
    <row r="178" spans="12:14">
      <c r="L178">
        <v>173.95099999999999</v>
      </c>
      <c r="M178">
        <v>34.56</v>
      </c>
      <c r="N178">
        <f t="shared" si="6"/>
        <v>86.975499999999997</v>
      </c>
    </row>
    <row r="179" spans="12:14">
      <c r="L179">
        <v>174.005</v>
      </c>
      <c r="M179">
        <v>34.56</v>
      </c>
      <c r="N179">
        <f t="shared" si="6"/>
        <v>87.002499999999998</v>
      </c>
    </row>
    <row r="180" spans="12:14">
      <c r="L180">
        <v>174.05799999999999</v>
      </c>
      <c r="M180">
        <v>34.68</v>
      </c>
      <c r="N180">
        <f t="shared" si="6"/>
        <v>87.028999999999996</v>
      </c>
    </row>
    <row r="181" spans="12:14">
      <c r="L181">
        <v>174.114</v>
      </c>
      <c r="M181">
        <v>34.71</v>
      </c>
      <c r="N181">
        <f t="shared" si="6"/>
        <v>87.057000000000002</v>
      </c>
    </row>
    <row r="182" spans="12:14">
      <c r="L182">
        <v>174.172</v>
      </c>
      <c r="M182">
        <v>34.76</v>
      </c>
      <c r="N182">
        <f t="shared" si="6"/>
        <v>87.085999999999999</v>
      </c>
    </row>
    <row r="183" spans="12:14">
      <c r="L183">
        <v>174.22399999999999</v>
      </c>
      <c r="M183">
        <v>34.9</v>
      </c>
      <c r="N183">
        <f t="shared" si="6"/>
        <v>87.111999999999995</v>
      </c>
    </row>
    <row r="184" spans="12:14">
      <c r="L184">
        <v>174.279</v>
      </c>
      <c r="M184">
        <v>34.93</v>
      </c>
      <c r="N184">
        <f t="shared" si="6"/>
        <v>87.139499999999998</v>
      </c>
    </row>
    <row r="185" spans="12:14">
      <c r="L185">
        <v>174.33699999999999</v>
      </c>
      <c r="M185">
        <v>35.01</v>
      </c>
      <c r="N185">
        <f t="shared" si="6"/>
        <v>87.168499999999995</v>
      </c>
    </row>
    <row r="186" spans="12:14">
      <c r="L186">
        <v>174.39099999999999</v>
      </c>
      <c r="M186">
        <v>34.96</v>
      </c>
      <c r="N186">
        <f t="shared" si="6"/>
        <v>87.195499999999996</v>
      </c>
    </row>
    <row r="187" spans="12:14">
      <c r="L187">
        <v>174.44399999999999</v>
      </c>
      <c r="M187">
        <v>35.159999999999997</v>
      </c>
      <c r="N187">
        <f t="shared" si="6"/>
        <v>87.221999999999994</v>
      </c>
    </row>
    <row r="188" spans="12:14">
      <c r="L188">
        <v>174.49799999999999</v>
      </c>
      <c r="M188">
        <v>35.159999999999997</v>
      </c>
      <c r="N188">
        <f t="shared" si="6"/>
        <v>87.248999999999995</v>
      </c>
    </row>
    <row r="189" spans="12:14">
      <c r="L189">
        <v>174.55600000000001</v>
      </c>
      <c r="M189">
        <v>35.299999999999997</v>
      </c>
      <c r="N189">
        <f t="shared" si="6"/>
        <v>87.278000000000006</v>
      </c>
    </row>
    <row r="190" spans="12:14">
      <c r="L190">
        <v>174.60900000000001</v>
      </c>
      <c r="M190">
        <v>35.299999999999997</v>
      </c>
      <c r="N190">
        <f t="shared" si="6"/>
        <v>87.304500000000004</v>
      </c>
    </row>
    <row r="191" spans="12:14">
      <c r="L191">
        <v>174.66300000000001</v>
      </c>
      <c r="M191">
        <v>35.43</v>
      </c>
      <c r="N191">
        <f t="shared" si="6"/>
        <v>87.331500000000005</v>
      </c>
    </row>
    <row r="192" spans="12:14">
      <c r="L192">
        <v>174.72</v>
      </c>
      <c r="M192">
        <v>35.49</v>
      </c>
      <c r="N192">
        <f t="shared" si="6"/>
        <v>87.36</v>
      </c>
    </row>
    <row r="193" spans="12:14">
      <c r="L193">
        <v>174.77699999999999</v>
      </c>
      <c r="M193">
        <v>35.46</v>
      </c>
      <c r="N193">
        <f t="shared" si="6"/>
        <v>87.388499999999993</v>
      </c>
    </row>
    <row r="194" spans="12:14">
      <c r="L194">
        <v>174.83</v>
      </c>
      <c r="M194">
        <v>35.659999999999997</v>
      </c>
      <c r="N194">
        <f t="shared" si="6"/>
        <v>87.415000000000006</v>
      </c>
    </row>
    <row r="195" spans="12:14">
      <c r="L195">
        <v>174.88399999999999</v>
      </c>
      <c r="M195">
        <v>35.69</v>
      </c>
      <c r="N195">
        <f t="shared" si="6"/>
        <v>87.441999999999993</v>
      </c>
    </row>
    <row r="196" spans="12:14">
      <c r="L196">
        <v>174.94200000000001</v>
      </c>
      <c r="M196">
        <v>35.86</v>
      </c>
      <c r="N196">
        <f t="shared" si="6"/>
        <v>87.471000000000004</v>
      </c>
    </row>
    <row r="197" spans="12:14">
      <c r="L197">
        <v>174.99600000000001</v>
      </c>
      <c r="M197">
        <v>35.78</v>
      </c>
      <c r="N197">
        <f t="shared" si="6"/>
        <v>87.498000000000005</v>
      </c>
    </row>
    <row r="198" spans="12:14">
      <c r="L198">
        <v>175.10499999999999</v>
      </c>
      <c r="M198">
        <v>35.86</v>
      </c>
      <c r="N198">
        <f t="shared" si="6"/>
        <v>87.552499999999995</v>
      </c>
    </row>
    <row r="199" spans="12:14">
      <c r="L199">
        <v>175.16300000000001</v>
      </c>
      <c r="M199">
        <v>36</v>
      </c>
      <c r="N199">
        <f t="shared" si="6"/>
        <v>87.581500000000005</v>
      </c>
    </row>
    <row r="200" spans="12:14">
      <c r="L200">
        <v>175.215</v>
      </c>
      <c r="M200">
        <v>36.08</v>
      </c>
      <c r="N200">
        <f t="shared" si="6"/>
        <v>87.607500000000002</v>
      </c>
    </row>
    <row r="201" spans="12:14">
      <c r="L201">
        <v>175.26900000000001</v>
      </c>
      <c r="M201">
        <v>36.08</v>
      </c>
      <c r="N201">
        <f t="shared" si="6"/>
        <v>87.634500000000003</v>
      </c>
    </row>
    <row r="202" spans="12:14">
      <c r="L202">
        <v>175.381</v>
      </c>
      <c r="M202">
        <v>36.11</v>
      </c>
      <c r="N202">
        <f t="shared" si="6"/>
        <v>87.6905</v>
      </c>
    </row>
    <row r="203" spans="12:14">
      <c r="L203">
        <v>175.434</v>
      </c>
      <c r="M203">
        <v>36.340000000000003</v>
      </c>
      <c r="N203">
        <f t="shared" si="6"/>
        <v>87.716999999999999</v>
      </c>
    </row>
    <row r="204" spans="12:14">
      <c r="L204">
        <v>175.488</v>
      </c>
      <c r="M204">
        <v>36.369999999999997</v>
      </c>
      <c r="N204">
        <f t="shared" ref="N204:N252" si="8">(L204/200)*100</f>
        <v>87.744</v>
      </c>
    </row>
    <row r="205" spans="12:14">
      <c r="L205">
        <v>175.548</v>
      </c>
      <c r="M205">
        <v>36.51</v>
      </c>
      <c r="N205">
        <f t="shared" si="8"/>
        <v>87.774000000000001</v>
      </c>
    </row>
    <row r="206" spans="12:14">
      <c r="L206">
        <v>175.655</v>
      </c>
      <c r="M206">
        <v>36.51</v>
      </c>
      <c r="N206">
        <f t="shared" si="8"/>
        <v>87.827500000000001</v>
      </c>
    </row>
    <row r="207" spans="12:14">
      <c r="L207">
        <v>175.71</v>
      </c>
      <c r="M207">
        <v>36.65</v>
      </c>
      <c r="N207">
        <f t="shared" si="8"/>
        <v>87.855000000000004</v>
      </c>
    </row>
    <row r="208" spans="12:14">
      <c r="L208">
        <v>175.76900000000001</v>
      </c>
      <c r="M208">
        <v>36.68</v>
      </c>
      <c r="N208">
        <f t="shared" si="8"/>
        <v>87.884500000000003</v>
      </c>
    </row>
    <row r="209" spans="12:14">
      <c r="L209">
        <v>175.822</v>
      </c>
      <c r="M209">
        <v>36.82</v>
      </c>
      <c r="N209">
        <f t="shared" si="8"/>
        <v>87.911000000000001</v>
      </c>
    </row>
    <row r="210" spans="12:14">
      <c r="L210">
        <v>175.87700000000001</v>
      </c>
      <c r="M210">
        <v>36.85</v>
      </c>
      <c r="N210">
        <f t="shared" si="8"/>
        <v>87.938500000000005</v>
      </c>
    </row>
    <row r="211" spans="12:14">
      <c r="L211">
        <v>175.935</v>
      </c>
      <c r="M211">
        <v>36.96</v>
      </c>
      <c r="N211">
        <f t="shared" si="8"/>
        <v>87.967500000000001</v>
      </c>
    </row>
    <row r="212" spans="12:14">
      <c r="L212">
        <v>175.99100000000001</v>
      </c>
      <c r="M212">
        <v>36.909999999999997</v>
      </c>
      <c r="N212">
        <f t="shared" si="8"/>
        <v>87.995500000000007</v>
      </c>
    </row>
    <row r="213" spans="12:14">
      <c r="L213">
        <v>176.04400000000001</v>
      </c>
      <c r="M213">
        <v>37.1</v>
      </c>
      <c r="N213">
        <f t="shared" si="8"/>
        <v>88.022000000000006</v>
      </c>
    </row>
    <row r="214" spans="12:14">
      <c r="L214">
        <v>176.15899999999999</v>
      </c>
      <c r="M214">
        <v>37.130000000000003</v>
      </c>
      <c r="N214">
        <f t="shared" si="8"/>
        <v>88.079499999999996</v>
      </c>
    </row>
    <row r="215" spans="12:14">
      <c r="L215">
        <v>176.21199999999999</v>
      </c>
      <c r="M215">
        <v>37.21</v>
      </c>
      <c r="N215">
        <f t="shared" si="8"/>
        <v>88.105999999999995</v>
      </c>
    </row>
    <row r="216" spans="12:14">
      <c r="L216">
        <v>176.267</v>
      </c>
      <c r="M216">
        <v>37.33</v>
      </c>
      <c r="N216">
        <f t="shared" si="8"/>
        <v>88.133499999999998</v>
      </c>
    </row>
    <row r="217" spans="12:14">
      <c r="L217">
        <v>176.32499999999999</v>
      </c>
      <c r="M217">
        <v>37.44</v>
      </c>
      <c r="N217">
        <f t="shared" si="8"/>
        <v>88.162499999999994</v>
      </c>
    </row>
    <row r="218" spans="12:14">
      <c r="L218">
        <v>176.38200000000001</v>
      </c>
      <c r="M218">
        <v>37.409999999999997</v>
      </c>
      <c r="N218">
        <f t="shared" si="8"/>
        <v>88.191000000000003</v>
      </c>
    </row>
    <row r="219" spans="12:14">
      <c r="L219">
        <v>176.434</v>
      </c>
      <c r="M219">
        <v>37.549999999999997</v>
      </c>
      <c r="N219">
        <f t="shared" si="8"/>
        <v>88.216999999999999</v>
      </c>
    </row>
    <row r="220" spans="12:14">
      <c r="L220">
        <v>176.49</v>
      </c>
      <c r="M220">
        <v>37.58</v>
      </c>
      <c r="N220">
        <f t="shared" si="8"/>
        <v>88.245000000000005</v>
      </c>
    </row>
    <row r="221" spans="12:14">
      <c r="L221">
        <v>176.548</v>
      </c>
      <c r="M221">
        <v>37.72</v>
      </c>
      <c r="N221">
        <f t="shared" si="8"/>
        <v>88.274000000000001</v>
      </c>
    </row>
    <row r="222" spans="12:14">
      <c r="L222">
        <v>176.655</v>
      </c>
      <c r="M222">
        <v>37.69</v>
      </c>
      <c r="N222">
        <f t="shared" si="8"/>
        <v>88.327500000000001</v>
      </c>
    </row>
    <row r="223" spans="12:14">
      <c r="L223">
        <v>176.71199999999999</v>
      </c>
      <c r="M223">
        <v>37.840000000000003</v>
      </c>
      <c r="N223">
        <f t="shared" si="8"/>
        <v>88.355999999999995</v>
      </c>
    </row>
    <row r="224" spans="12:14">
      <c r="L224">
        <v>176.77</v>
      </c>
      <c r="M224">
        <v>37.86</v>
      </c>
      <c r="N224">
        <f t="shared" si="8"/>
        <v>88.385000000000005</v>
      </c>
    </row>
    <row r="225" spans="12:14">
      <c r="L225">
        <v>176.82300000000001</v>
      </c>
      <c r="M225">
        <v>38.03</v>
      </c>
      <c r="N225">
        <f t="shared" si="8"/>
        <v>88.411500000000004</v>
      </c>
    </row>
    <row r="226" spans="12:14">
      <c r="L226">
        <v>176.93700000000001</v>
      </c>
      <c r="M226">
        <v>38.08</v>
      </c>
      <c r="N226">
        <f t="shared" si="8"/>
        <v>88.468500000000006</v>
      </c>
    </row>
    <row r="227" spans="12:14">
      <c r="L227">
        <v>176.99100000000001</v>
      </c>
      <c r="M227">
        <v>38.17</v>
      </c>
      <c r="N227">
        <f t="shared" si="8"/>
        <v>88.495500000000007</v>
      </c>
    </row>
    <row r="228" spans="12:14">
      <c r="L228">
        <v>177.04499999999999</v>
      </c>
      <c r="M228">
        <v>38.31</v>
      </c>
      <c r="N228">
        <f t="shared" si="8"/>
        <v>88.522499999999994</v>
      </c>
    </row>
    <row r="229" spans="12:14">
      <c r="L229">
        <v>177.16</v>
      </c>
      <c r="M229">
        <v>38.340000000000003</v>
      </c>
      <c r="N229">
        <f t="shared" si="8"/>
        <v>88.58</v>
      </c>
    </row>
    <row r="230" spans="12:14">
      <c r="L230">
        <v>177.214</v>
      </c>
      <c r="M230">
        <v>38.46</v>
      </c>
      <c r="N230">
        <f t="shared" si="8"/>
        <v>88.606999999999999</v>
      </c>
    </row>
    <row r="231" spans="12:14">
      <c r="L231">
        <v>177.26599999999999</v>
      </c>
      <c r="M231">
        <v>38.53</v>
      </c>
      <c r="N231">
        <f t="shared" si="8"/>
        <v>88.632999999999996</v>
      </c>
    </row>
    <row r="232" spans="12:14">
      <c r="L232">
        <v>177.322</v>
      </c>
      <c r="M232">
        <v>38.619999999999997</v>
      </c>
      <c r="N232">
        <f t="shared" si="8"/>
        <v>88.661000000000001</v>
      </c>
    </row>
    <row r="233" spans="12:14">
      <c r="L233">
        <v>177.37799999999999</v>
      </c>
      <c r="M233">
        <v>38.619999999999997</v>
      </c>
      <c r="N233">
        <f t="shared" si="8"/>
        <v>88.688999999999993</v>
      </c>
    </row>
    <row r="234" spans="12:14">
      <c r="L234">
        <v>177.43</v>
      </c>
      <c r="M234">
        <v>38.76</v>
      </c>
      <c r="N234">
        <f t="shared" si="8"/>
        <v>88.715000000000003</v>
      </c>
    </row>
    <row r="235" spans="12:14">
      <c r="L235">
        <v>177.48400000000001</v>
      </c>
      <c r="M235">
        <v>38.82</v>
      </c>
      <c r="N235">
        <f t="shared" si="8"/>
        <v>88.742000000000004</v>
      </c>
    </row>
    <row r="236" spans="12:14">
      <c r="L236">
        <v>177.542</v>
      </c>
      <c r="M236">
        <v>38.909999999999997</v>
      </c>
      <c r="N236">
        <f t="shared" si="8"/>
        <v>88.771000000000001</v>
      </c>
    </row>
    <row r="237" spans="12:14">
      <c r="L237">
        <v>177.595</v>
      </c>
      <c r="M237">
        <v>38.909999999999997</v>
      </c>
      <c r="N237">
        <f t="shared" si="8"/>
        <v>88.797499999999999</v>
      </c>
    </row>
    <row r="238" spans="12:14">
      <c r="L238">
        <v>177.703</v>
      </c>
      <c r="M238">
        <v>38.979999999999997</v>
      </c>
      <c r="N238">
        <f t="shared" si="8"/>
        <v>88.851500000000001</v>
      </c>
    </row>
    <row r="239" spans="12:14">
      <c r="L239">
        <v>177.761</v>
      </c>
      <c r="M239">
        <v>39.1</v>
      </c>
      <c r="N239">
        <f t="shared" si="8"/>
        <v>88.880499999999998</v>
      </c>
    </row>
    <row r="240" spans="12:14">
      <c r="L240">
        <v>177.81299999999999</v>
      </c>
      <c r="M240">
        <v>39.18</v>
      </c>
      <c r="N240">
        <f t="shared" si="8"/>
        <v>88.906499999999994</v>
      </c>
    </row>
    <row r="241" spans="12:14">
      <c r="L241">
        <v>177.86699999999999</v>
      </c>
      <c r="M241">
        <v>39.270000000000003</v>
      </c>
      <c r="N241">
        <f t="shared" si="8"/>
        <v>88.933499999999995</v>
      </c>
    </row>
    <row r="242" spans="12:14">
      <c r="L242">
        <v>177.98</v>
      </c>
      <c r="M242">
        <v>39.24</v>
      </c>
      <c r="N242">
        <f t="shared" si="8"/>
        <v>88.99</v>
      </c>
    </row>
    <row r="243" spans="12:14">
      <c r="L243">
        <v>178.03200000000001</v>
      </c>
      <c r="M243">
        <v>39.49</v>
      </c>
      <c r="N243">
        <f t="shared" si="8"/>
        <v>89.016000000000005</v>
      </c>
    </row>
    <row r="244" spans="12:14">
      <c r="L244">
        <v>178.08699999999999</v>
      </c>
      <c r="M244">
        <v>39.49</v>
      </c>
      <c r="N244">
        <f t="shared" si="8"/>
        <v>89.043499999999995</v>
      </c>
    </row>
    <row r="245" spans="12:14">
      <c r="L245">
        <v>178.14400000000001</v>
      </c>
      <c r="M245">
        <v>39.630000000000003</v>
      </c>
      <c r="N245">
        <f t="shared" si="8"/>
        <v>89.072000000000003</v>
      </c>
    </row>
    <row r="246" spans="12:14">
      <c r="L246">
        <v>178.197</v>
      </c>
      <c r="M246">
        <v>39.58</v>
      </c>
      <c r="N246">
        <f t="shared" si="8"/>
        <v>89.098500000000001</v>
      </c>
    </row>
    <row r="247" spans="12:14">
      <c r="L247">
        <v>178.251</v>
      </c>
      <c r="M247">
        <v>39.75</v>
      </c>
      <c r="N247">
        <f t="shared" si="8"/>
        <v>89.125500000000002</v>
      </c>
    </row>
    <row r="248" spans="12:14">
      <c r="L248">
        <v>178.30699999999999</v>
      </c>
      <c r="M248">
        <v>39.75</v>
      </c>
      <c r="N248">
        <f t="shared" si="8"/>
        <v>89.153499999999994</v>
      </c>
    </row>
    <row r="249" spans="12:14">
      <c r="L249">
        <v>178.364</v>
      </c>
      <c r="M249">
        <v>39.83</v>
      </c>
      <c r="N249">
        <f t="shared" si="8"/>
        <v>89.182000000000002</v>
      </c>
    </row>
    <row r="250" spans="12:14">
      <c r="L250">
        <v>178.416</v>
      </c>
      <c r="M250">
        <v>39.89</v>
      </c>
      <c r="N250">
        <f t="shared" si="8"/>
        <v>89.207999999999998</v>
      </c>
    </row>
    <row r="251" spans="12:14">
      <c r="L251">
        <v>178.47</v>
      </c>
      <c r="M251">
        <v>39.92</v>
      </c>
      <c r="N251">
        <f t="shared" si="8"/>
        <v>89.234999999999999</v>
      </c>
    </row>
    <row r="252" spans="12:14">
      <c r="L252">
        <v>178.52799999999999</v>
      </c>
      <c r="M252" s="24">
        <v>40.049999999999997</v>
      </c>
      <c r="N252">
        <f t="shared" si="8"/>
        <v>89.263999999999996</v>
      </c>
    </row>
  </sheetData>
  <mergeCells count="4">
    <mergeCell ref="D7:E8"/>
    <mergeCell ref="H7:I8"/>
    <mergeCell ref="L7:M8"/>
    <mergeCell ref="P7:Q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E10"/>
  <sheetViews>
    <sheetView workbookViewId="0">
      <selection activeCell="L6" sqref="L6"/>
    </sheetView>
  </sheetViews>
  <sheetFormatPr defaultRowHeight="15"/>
  <sheetData>
    <row r="6" spans="3:5">
      <c r="D6" t="s">
        <v>133</v>
      </c>
      <c r="E6" t="s">
        <v>134</v>
      </c>
    </row>
    <row r="7" spans="3:5" ht="15.75">
      <c r="C7" s="78" t="s">
        <v>116</v>
      </c>
      <c r="D7" s="80">
        <v>15.8</v>
      </c>
      <c r="E7" s="79">
        <v>10.199999999999999</v>
      </c>
    </row>
    <row r="8" spans="3:5" ht="15.75">
      <c r="C8" s="78" t="s">
        <v>117</v>
      </c>
      <c r="D8" s="79">
        <v>45</v>
      </c>
      <c r="E8" s="79">
        <v>22.6</v>
      </c>
    </row>
    <row r="9" spans="3:5" ht="15.75">
      <c r="C9" s="78" t="s">
        <v>118</v>
      </c>
      <c r="D9" s="79">
        <v>17.899999999999999</v>
      </c>
      <c r="E9" s="79">
        <v>14.75</v>
      </c>
    </row>
    <row r="10" spans="3:5" ht="15.75">
      <c r="C10" s="78" t="s">
        <v>119</v>
      </c>
      <c r="D10" s="63">
        <v>81.400000000000006</v>
      </c>
      <c r="E10" s="82">
        <v>50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J35"/>
  <sheetViews>
    <sheetView topLeftCell="A10" zoomScale="85" zoomScaleNormal="85" workbookViewId="0">
      <selection activeCell="D27" sqref="D27"/>
    </sheetView>
  </sheetViews>
  <sheetFormatPr defaultRowHeight="15"/>
  <cols>
    <col min="2" max="2" width="20.85546875" bestFit="1" customWidth="1"/>
    <col min="3" max="3" width="13.5703125" customWidth="1"/>
    <col min="4" max="4" width="14.140625" customWidth="1"/>
    <col min="7" max="7" width="38.5703125" customWidth="1"/>
  </cols>
  <sheetData>
    <row r="10" spans="2:10" ht="27.75" customHeight="1"/>
    <row r="11" spans="2:10" ht="17.25" customHeight="1">
      <c r="B11" s="192" t="s">
        <v>307</v>
      </c>
      <c r="C11" s="192"/>
      <c r="G11" s="198" t="s">
        <v>274</v>
      </c>
      <c r="H11" s="199"/>
      <c r="I11" s="199"/>
      <c r="J11" s="200"/>
    </row>
    <row r="12" spans="2:10" ht="31.5" customHeight="1">
      <c r="G12" s="201" t="s">
        <v>275</v>
      </c>
      <c r="H12" s="202"/>
      <c r="I12" s="202"/>
      <c r="J12" s="203"/>
    </row>
    <row r="13" spans="2:10" ht="15.75" customHeight="1">
      <c r="B13" s="129" t="s">
        <v>158</v>
      </c>
      <c r="C13" s="128" t="s">
        <v>308</v>
      </c>
      <c r="D13" s="127" t="s">
        <v>309</v>
      </c>
      <c r="G13" s="93" t="s">
        <v>276</v>
      </c>
      <c r="H13" s="93">
        <v>44</v>
      </c>
      <c r="I13" s="119">
        <v>46</v>
      </c>
      <c r="J13" s="93">
        <v>48</v>
      </c>
    </row>
    <row r="14" spans="2:10" ht="15.75">
      <c r="B14" s="130" t="s">
        <v>159</v>
      </c>
      <c r="C14" s="126">
        <v>185</v>
      </c>
      <c r="D14" s="131">
        <v>171</v>
      </c>
      <c r="G14" s="102" t="s">
        <v>159</v>
      </c>
      <c r="H14" s="93">
        <v>168</v>
      </c>
      <c r="I14" s="119">
        <v>171</v>
      </c>
      <c r="J14" s="93">
        <v>174</v>
      </c>
    </row>
    <row r="15" spans="2:10" ht="15.75">
      <c r="B15" s="130" t="s">
        <v>160</v>
      </c>
      <c r="C15" s="103">
        <v>90</v>
      </c>
      <c r="D15" s="131">
        <v>92</v>
      </c>
      <c r="G15" s="102" t="s">
        <v>160</v>
      </c>
      <c r="H15" s="93">
        <v>88</v>
      </c>
      <c r="I15" s="119">
        <v>92</v>
      </c>
      <c r="J15" s="93">
        <v>96</v>
      </c>
    </row>
    <row r="16" spans="2:10" ht="15.75">
      <c r="B16" s="130" t="s">
        <v>161</v>
      </c>
      <c r="C16" s="103">
        <v>33</v>
      </c>
      <c r="D16" s="131">
        <v>40.799999999999997</v>
      </c>
      <c r="G16" s="93" t="s">
        <v>282</v>
      </c>
      <c r="H16" s="93">
        <v>78</v>
      </c>
      <c r="I16" s="119">
        <v>82</v>
      </c>
      <c r="J16" s="93">
        <v>86</v>
      </c>
    </row>
    <row r="17" spans="2:10" ht="15.75">
      <c r="B17" s="130" t="s">
        <v>162</v>
      </c>
      <c r="C17" s="103">
        <v>39</v>
      </c>
      <c r="D17" s="131">
        <v>42.8</v>
      </c>
      <c r="G17" s="93" t="s">
        <v>283</v>
      </c>
      <c r="H17" s="93">
        <v>90</v>
      </c>
      <c r="I17" s="119">
        <v>94</v>
      </c>
      <c r="J17" s="93">
        <v>98</v>
      </c>
    </row>
    <row r="18" spans="2:10" ht="15.75">
      <c r="B18" s="130" t="s">
        <v>163</v>
      </c>
      <c r="C18" s="103">
        <v>19</v>
      </c>
      <c r="D18" s="131">
        <v>22.2</v>
      </c>
      <c r="G18" s="102" t="s">
        <v>167</v>
      </c>
      <c r="H18" s="93">
        <v>61</v>
      </c>
      <c r="I18" s="119">
        <v>62</v>
      </c>
      <c r="J18" s="93">
        <v>63</v>
      </c>
    </row>
    <row r="19" spans="2:10" ht="15.75">
      <c r="B19" s="130" t="s">
        <v>164</v>
      </c>
      <c r="C19" s="103">
        <v>18</v>
      </c>
      <c r="D19" s="132" t="s">
        <v>7</v>
      </c>
      <c r="G19" s="93" t="s">
        <v>284</v>
      </c>
      <c r="H19" s="93">
        <v>7.4</v>
      </c>
      <c r="I19" s="119">
        <v>7.6</v>
      </c>
      <c r="J19" s="93">
        <v>7.8</v>
      </c>
    </row>
    <row r="20" spans="2:10" ht="15.75">
      <c r="B20" s="130" t="s">
        <v>165</v>
      </c>
      <c r="C20" s="103">
        <v>36</v>
      </c>
      <c r="D20" s="131">
        <v>38</v>
      </c>
      <c r="G20" s="102" t="s">
        <v>163</v>
      </c>
      <c r="H20" s="93">
        <v>21.5</v>
      </c>
      <c r="I20" s="119">
        <v>22.2</v>
      </c>
      <c r="J20" s="93">
        <v>22.9</v>
      </c>
    </row>
    <row r="21" spans="2:10" ht="15.75">
      <c r="B21" s="130" t="s">
        <v>166</v>
      </c>
      <c r="C21" s="103">
        <v>67</v>
      </c>
      <c r="D21" s="133" t="s">
        <v>7</v>
      </c>
      <c r="G21" s="102" t="s">
        <v>162</v>
      </c>
      <c r="H21" s="93">
        <v>42</v>
      </c>
      <c r="I21" s="119">
        <v>42.8</v>
      </c>
      <c r="J21" s="93">
        <v>43.5</v>
      </c>
    </row>
    <row r="22" spans="2:10" ht="15.75">
      <c r="B22" s="130" t="s">
        <v>167</v>
      </c>
      <c r="C22" s="103">
        <v>59</v>
      </c>
      <c r="D22" s="131">
        <v>62</v>
      </c>
      <c r="G22" s="93" t="s">
        <v>281</v>
      </c>
      <c r="H22" s="93">
        <v>19.600000000000001</v>
      </c>
      <c r="I22" s="119">
        <v>20.399999999999999</v>
      </c>
      <c r="J22" s="93">
        <v>21.2</v>
      </c>
    </row>
    <row r="23" spans="2:10">
      <c r="G23" s="93" t="s">
        <v>285</v>
      </c>
      <c r="H23" s="93">
        <v>15.5</v>
      </c>
      <c r="I23" s="119">
        <v>16</v>
      </c>
      <c r="J23" s="93">
        <v>16.5</v>
      </c>
    </row>
    <row r="24" spans="2:10">
      <c r="G24" s="93" t="s">
        <v>286</v>
      </c>
      <c r="H24" s="93">
        <v>20.100000000000001</v>
      </c>
      <c r="I24" s="119">
        <v>20.9</v>
      </c>
      <c r="J24" s="93">
        <v>21.7</v>
      </c>
    </row>
    <row r="25" spans="2:10">
      <c r="G25" s="93" t="s">
        <v>288</v>
      </c>
      <c r="H25" s="93">
        <v>21</v>
      </c>
      <c r="I25" s="119">
        <v>22</v>
      </c>
      <c r="J25" s="93">
        <v>23</v>
      </c>
    </row>
    <row r="26" spans="2:10">
      <c r="G26" s="93" t="s">
        <v>287</v>
      </c>
      <c r="H26" s="93">
        <v>102</v>
      </c>
      <c r="I26" s="119">
        <v>103.5</v>
      </c>
      <c r="J26" s="93">
        <v>105</v>
      </c>
    </row>
    <row r="27" spans="2:10">
      <c r="G27" s="93" t="s">
        <v>289</v>
      </c>
      <c r="H27" s="93">
        <v>78</v>
      </c>
      <c r="I27" s="119">
        <v>79</v>
      </c>
      <c r="J27" s="93">
        <v>80</v>
      </c>
    </row>
    <row r="28" spans="2:10">
      <c r="G28" s="93" t="s">
        <v>290</v>
      </c>
      <c r="H28" s="93">
        <v>24</v>
      </c>
      <c r="I28" s="119">
        <v>24.5</v>
      </c>
      <c r="J28" s="93">
        <v>25</v>
      </c>
    </row>
    <row r="29" spans="2:10">
      <c r="G29" s="93" t="s">
        <v>282</v>
      </c>
      <c r="H29" s="93">
        <v>76</v>
      </c>
      <c r="I29" s="119">
        <v>80</v>
      </c>
      <c r="J29" s="93">
        <v>84</v>
      </c>
    </row>
    <row r="30" spans="2:10">
      <c r="G30" s="93" t="s">
        <v>291</v>
      </c>
      <c r="H30" s="93">
        <v>31.1</v>
      </c>
      <c r="I30" s="119">
        <v>31.4</v>
      </c>
      <c r="J30" s="93">
        <v>31.7</v>
      </c>
    </row>
    <row r="31" spans="2:10">
      <c r="G31" s="93" t="s">
        <v>292</v>
      </c>
      <c r="H31" s="93">
        <v>42</v>
      </c>
      <c r="I31" s="119">
        <v>43</v>
      </c>
      <c r="J31" s="93">
        <v>44</v>
      </c>
    </row>
    <row r="32" spans="2:10">
      <c r="G32" s="93" t="s">
        <v>293</v>
      </c>
      <c r="H32" s="93">
        <v>32</v>
      </c>
      <c r="I32" s="119">
        <v>33</v>
      </c>
      <c r="J32" s="93">
        <v>34</v>
      </c>
    </row>
    <row r="33" spans="7:10">
      <c r="G33" s="93" t="s">
        <v>294</v>
      </c>
      <c r="H33" s="93">
        <v>35</v>
      </c>
      <c r="I33" s="119">
        <v>36</v>
      </c>
      <c r="J33" s="93">
        <v>37</v>
      </c>
    </row>
    <row r="34" spans="7:10">
      <c r="G34" s="93" t="s">
        <v>295</v>
      </c>
      <c r="H34" s="93">
        <v>23</v>
      </c>
      <c r="I34" s="119">
        <v>24</v>
      </c>
      <c r="J34" s="93">
        <v>25</v>
      </c>
    </row>
    <row r="35" spans="7:10">
      <c r="G35" s="93" t="s">
        <v>165</v>
      </c>
      <c r="H35" s="93">
        <v>37</v>
      </c>
      <c r="I35" s="119">
        <v>38</v>
      </c>
      <c r="J35" s="93">
        <v>39</v>
      </c>
    </row>
  </sheetData>
  <mergeCells count="3">
    <mergeCell ref="B11:C11"/>
    <mergeCell ref="G11:J11"/>
    <mergeCell ref="G12:J1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AE50"/>
  <sheetViews>
    <sheetView topLeftCell="H1" zoomScale="90" zoomScaleNormal="90" workbookViewId="0">
      <selection activeCell="AI36" sqref="AI36"/>
    </sheetView>
  </sheetViews>
  <sheetFormatPr defaultRowHeight="15"/>
  <cols>
    <col min="4" max="4" width="26.140625" customWidth="1"/>
    <col min="5" max="5" width="5.28515625" customWidth="1"/>
    <col min="6" max="6" width="5.85546875" customWidth="1"/>
    <col min="7" max="7" width="5.42578125" customWidth="1"/>
    <col min="10" max="10" width="10.7109375" customWidth="1"/>
    <col min="13" max="13" width="4.5703125" customWidth="1"/>
    <col min="14" max="14" width="4.28515625" customWidth="1"/>
    <col min="15" max="15" width="4.42578125" customWidth="1"/>
    <col min="16" max="16" width="5.140625" customWidth="1"/>
    <col min="17" max="17" width="8.5703125" customWidth="1"/>
    <col min="18" max="18" width="4.42578125" customWidth="1"/>
    <col min="19" max="19" width="4.85546875" customWidth="1"/>
    <col min="20" max="20" width="6.28515625" customWidth="1"/>
    <col min="21" max="21" width="3.7109375" customWidth="1"/>
    <col min="22" max="22" width="4.28515625" customWidth="1"/>
    <col min="23" max="23" width="3.7109375" customWidth="1"/>
    <col min="24" max="24" width="4.28515625" customWidth="1"/>
    <col min="25" max="25" width="11.140625" customWidth="1"/>
    <col min="26" max="26" width="4.140625" customWidth="1"/>
    <col min="27" max="27" width="5.42578125" customWidth="1"/>
    <col min="28" max="28" width="4.85546875" customWidth="1"/>
    <col min="29" max="29" width="3.140625" customWidth="1"/>
    <col min="30" max="30" width="7" customWidth="1"/>
  </cols>
  <sheetData>
    <row r="5" spans="3:31" ht="15.75" thickBot="1"/>
    <row r="6" spans="3:31" ht="15.75" customHeight="1">
      <c r="J6" s="108"/>
      <c r="M6" s="204" t="s">
        <v>310</v>
      </c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6"/>
    </row>
    <row r="7" spans="3:31" ht="15.75" thickBot="1">
      <c r="J7" s="107"/>
      <c r="M7" s="217" t="s">
        <v>263</v>
      </c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19"/>
    </row>
    <row r="8" spans="3:31">
      <c r="C8" s="104"/>
      <c r="D8" s="104"/>
      <c r="E8" s="104"/>
      <c r="F8" s="104"/>
      <c r="G8" s="104"/>
      <c r="H8" s="104"/>
      <c r="I8" s="104"/>
      <c r="M8" s="220" t="s">
        <v>262</v>
      </c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2"/>
    </row>
    <row r="9" spans="3:31">
      <c r="M9" s="223" t="s">
        <v>261</v>
      </c>
      <c r="N9" s="224">
        <v>171</v>
      </c>
      <c r="O9" s="224" t="s">
        <v>252</v>
      </c>
      <c r="P9" s="224" t="s">
        <v>260</v>
      </c>
      <c r="Q9" s="224">
        <v>92</v>
      </c>
      <c r="R9" s="224" t="s">
        <v>252</v>
      </c>
      <c r="S9" s="225" t="s">
        <v>259</v>
      </c>
      <c r="T9" s="226">
        <v>40.799999999999997</v>
      </c>
      <c r="U9" s="225" t="s">
        <v>252</v>
      </c>
      <c r="V9" s="225" t="s">
        <v>258</v>
      </c>
      <c r="W9" s="226">
        <v>42.8</v>
      </c>
      <c r="X9" s="225" t="s">
        <v>252</v>
      </c>
      <c r="Y9" s="227" t="s">
        <v>257</v>
      </c>
      <c r="Z9" s="226">
        <v>22.2</v>
      </c>
      <c r="AA9" s="225" t="s">
        <v>252</v>
      </c>
      <c r="AB9" s="225" t="s">
        <v>256</v>
      </c>
      <c r="AC9" s="225">
        <v>18</v>
      </c>
      <c r="AD9" s="228" t="s">
        <v>252</v>
      </c>
    </row>
    <row r="10" spans="3:31">
      <c r="M10" s="229" t="s">
        <v>255</v>
      </c>
      <c r="N10" s="230">
        <v>38</v>
      </c>
      <c r="O10" s="230" t="s">
        <v>250</v>
      </c>
      <c r="P10" s="230"/>
      <c r="Q10" s="279" t="s">
        <v>254</v>
      </c>
      <c r="R10" s="230"/>
      <c r="S10" s="231"/>
      <c r="T10" s="224" t="s">
        <v>253</v>
      </c>
      <c r="U10" s="224">
        <v>54</v>
      </c>
      <c r="V10" s="224" t="s">
        <v>252</v>
      </c>
      <c r="W10" s="224" t="s">
        <v>251</v>
      </c>
      <c r="X10" s="224">
        <v>59</v>
      </c>
      <c r="Y10" s="224" t="s">
        <v>250</v>
      </c>
      <c r="Z10" s="231"/>
      <c r="AA10" s="231"/>
      <c r="AB10" s="231"/>
      <c r="AC10" s="231"/>
      <c r="AD10" s="232"/>
    </row>
    <row r="11" spans="3:31">
      <c r="M11" s="233" t="s">
        <v>249</v>
      </c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2"/>
    </row>
    <row r="12" spans="3:31" ht="15" customHeight="1">
      <c r="M12" s="234" t="s">
        <v>248</v>
      </c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6"/>
    </row>
    <row r="13" spans="3:31" ht="15" customHeight="1">
      <c r="J13" s="106"/>
      <c r="M13" s="237" t="s">
        <v>300</v>
      </c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9"/>
    </row>
    <row r="14" spans="3:31" ht="15.75" thickBot="1">
      <c r="J14" s="106"/>
      <c r="M14" s="240" t="s">
        <v>301</v>
      </c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2"/>
    </row>
    <row r="15" spans="3:31" ht="15.75" thickBot="1">
      <c r="J15" s="106"/>
      <c r="M15" s="207" t="s">
        <v>247</v>
      </c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9"/>
    </row>
    <row r="16" spans="3:31" ht="51" customHeight="1" thickTop="1">
      <c r="M16" s="261" t="s">
        <v>194</v>
      </c>
      <c r="N16" s="262" t="s">
        <v>158</v>
      </c>
      <c r="O16" s="263"/>
      <c r="P16" s="263"/>
      <c r="Q16" s="264"/>
      <c r="R16" s="262" t="s">
        <v>193</v>
      </c>
      <c r="S16" s="263"/>
      <c r="T16" s="264"/>
      <c r="U16" s="262" t="s">
        <v>192</v>
      </c>
      <c r="V16" s="263"/>
      <c r="W16" s="263"/>
      <c r="X16" s="264"/>
      <c r="Y16" s="273" t="s">
        <v>339</v>
      </c>
      <c r="Z16" s="274" t="s">
        <v>15</v>
      </c>
      <c r="AA16" s="275"/>
      <c r="AB16" s="276"/>
      <c r="AC16" s="277" t="s">
        <v>16</v>
      </c>
      <c r="AD16" s="278"/>
      <c r="AE16" s="105"/>
    </row>
    <row r="17" spans="13:31" ht="32.25" customHeight="1">
      <c r="M17" s="265" t="s">
        <v>191</v>
      </c>
      <c r="N17" s="266" t="s">
        <v>246</v>
      </c>
      <c r="O17" s="266"/>
      <c r="P17" s="266"/>
      <c r="Q17" s="266"/>
      <c r="R17" s="243" t="s">
        <v>245</v>
      </c>
      <c r="S17" s="243"/>
      <c r="T17" s="243"/>
      <c r="U17" s="243"/>
      <c r="V17" s="243"/>
      <c r="W17" s="243"/>
      <c r="X17" s="243"/>
      <c r="Y17" s="244"/>
      <c r="Z17" s="245"/>
      <c r="AA17" s="245"/>
      <c r="AB17" s="245"/>
      <c r="AC17" s="245"/>
      <c r="AD17" s="245"/>
    </row>
    <row r="18" spans="13:31" ht="28.5" customHeight="1">
      <c r="M18" s="265" t="s">
        <v>189</v>
      </c>
      <c r="N18" s="267" t="s">
        <v>244</v>
      </c>
      <c r="O18" s="267"/>
      <c r="P18" s="267"/>
      <c r="Q18" s="267"/>
      <c r="R18" s="243" t="s">
        <v>243</v>
      </c>
      <c r="S18" s="243"/>
      <c r="T18" s="243"/>
      <c r="U18" s="246" t="s">
        <v>342</v>
      </c>
      <c r="V18" s="246"/>
      <c r="W18" s="246"/>
      <c r="X18" s="246"/>
      <c r="Y18" s="247">
        <f>W9</f>
        <v>42.8</v>
      </c>
      <c r="Z18" s="248">
        <f>Y18*1.02</f>
        <v>43.655999999999999</v>
      </c>
      <c r="AA18" s="248"/>
      <c r="AB18" s="248"/>
      <c r="AC18" s="248">
        <f>Y18*1.05</f>
        <v>44.94</v>
      </c>
      <c r="AD18" s="248"/>
    </row>
    <row r="19" spans="13:31" ht="15.75">
      <c r="M19" s="265" t="s">
        <v>186</v>
      </c>
      <c r="N19" s="267" t="s">
        <v>242</v>
      </c>
      <c r="O19" s="267"/>
      <c r="P19" s="267"/>
      <c r="Q19" s="267"/>
      <c r="R19" s="243" t="s">
        <v>241</v>
      </c>
      <c r="S19" s="243"/>
      <c r="T19" s="243"/>
      <c r="U19" s="243" t="s">
        <v>240</v>
      </c>
      <c r="V19" s="243"/>
      <c r="W19" s="243"/>
      <c r="X19" s="243"/>
      <c r="Y19" s="247">
        <f>U10</f>
        <v>54</v>
      </c>
      <c r="Z19" s="248">
        <f>Y19*1.02</f>
        <v>55.08</v>
      </c>
      <c r="AA19" s="248"/>
      <c r="AB19" s="248"/>
      <c r="AC19" s="248">
        <f>Y19*1.05</f>
        <v>56.7</v>
      </c>
      <c r="AD19" s="248"/>
    </row>
    <row r="20" spans="13:31" s="104" customFormat="1" ht="30" customHeight="1">
      <c r="M20" s="268" t="s">
        <v>183</v>
      </c>
      <c r="N20" s="266" t="s">
        <v>239</v>
      </c>
      <c r="O20" s="266"/>
      <c r="P20" s="266"/>
      <c r="Q20" s="266"/>
      <c r="R20" s="246" t="s">
        <v>238</v>
      </c>
      <c r="S20" s="246"/>
      <c r="T20" s="246"/>
      <c r="U20" s="246" t="s">
        <v>343</v>
      </c>
      <c r="V20" s="246"/>
      <c r="W20" s="246"/>
      <c r="X20" s="246"/>
      <c r="Y20" s="249">
        <f>Z9</f>
        <v>22.2</v>
      </c>
      <c r="Z20" s="248">
        <f>Y20*1.02</f>
        <v>22.643999999999998</v>
      </c>
      <c r="AA20" s="248"/>
      <c r="AB20" s="248"/>
      <c r="AC20" s="250">
        <f>Y20*1.05</f>
        <v>23.31</v>
      </c>
      <c r="AD20" s="250"/>
      <c r="AE20"/>
    </row>
    <row r="21" spans="13:31" ht="15.75">
      <c r="M21" s="265" t="s">
        <v>180</v>
      </c>
      <c r="N21" s="267" t="s">
        <v>237</v>
      </c>
      <c r="O21" s="267"/>
      <c r="P21" s="267"/>
      <c r="Q21" s="267"/>
      <c r="R21" s="243" t="s">
        <v>236</v>
      </c>
      <c r="S21" s="243"/>
      <c r="T21" s="243"/>
      <c r="U21" s="243" t="s">
        <v>235</v>
      </c>
      <c r="V21" s="243"/>
      <c r="W21" s="243"/>
      <c r="X21" s="243"/>
      <c r="Y21" s="247">
        <f>Y20/2</f>
        <v>11.1</v>
      </c>
      <c r="Z21" s="248">
        <f>Y21*1.02</f>
        <v>11.321999999999999</v>
      </c>
      <c r="AA21" s="248"/>
      <c r="AB21" s="248"/>
      <c r="AC21" s="250">
        <f>Y21*1.05</f>
        <v>11.654999999999999</v>
      </c>
      <c r="AD21" s="250"/>
    </row>
    <row r="22" spans="13:31" ht="15.75">
      <c r="M22" s="265" t="s">
        <v>177</v>
      </c>
      <c r="N22" s="267" t="s">
        <v>234</v>
      </c>
      <c r="O22" s="267"/>
      <c r="P22" s="267"/>
      <c r="Q22" s="267"/>
      <c r="R22" s="243" t="s">
        <v>233</v>
      </c>
      <c r="S22" s="243"/>
      <c r="T22" s="243"/>
      <c r="U22" s="243" t="s">
        <v>232</v>
      </c>
      <c r="V22" s="243"/>
      <c r="W22" s="243"/>
      <c r="X22" s="243"/>
      <c r="Y22" s="251">
        <f>0.125*Y21</f>
        <v>1.3875</v>
      </c>
      <c r="Z22" s="248">
        <f>Y22*1.02</f>
        <v>1.4152499999999999</v>
      </c>
      <c r="AA22" s="248"/>
      <c r="AB22" s="248"/>
      <c r="AC22" s="250">
        <f>Y22*1.05</f>
        <v>1.4568749999999999</v>
      </c>
      <c r="AD22" s="250"/>
    </row>
    <row r="23" spans="13:31" ht="15.75">
      <c r="M23" s="265" t="s">
        <v>174</v>
      </c>
      <c r="N23" s="267" t="s">
        <v>231</v>
      </c>
      <c r="O23" s="267"/>
      <c r="P23" s="267"/>
      <c r="Q23" s="267"/>
      <c r="R23" s="243" t="s">
        <v>230</v>
      </c>
      <c r="S23" s="243"/>
      <c r="T23" s="243"/>
      <c r="U23" s="243"/>
      <c r="V23" s="243"/>
      <c r="W23" s="243"/>
      <c r="X23" s="243"/>
      <c r="Y23" s="247"/>
      <c r="Z23" s="252"/>
      <c r="AA23" s="252"/>
      <c r="AB23" s="252"/>
      <c r="AC23" s="252"/>
      <c r="AD23" s="252"/>
    </row>
    <row r="24" spans="13:31" ht="15.75">
      <c r="M24" s="265" t="s">
        <v>171</v>
      </c>
      <c r="N24" s="267" t="s">
        <v>229</v>
      </c>
      <c r="O24" s="267"/>
      <c r="P24" s="267"/>
      <c r="Q24" s="267"/>
      <c r="R24" s="243" t="s">
        <v>228</v>
      </c>
      <c r="S24" s="243"/>
      <c r="T24" s="243"/>
      <c r="U24" s="243" t="s">
        <v>227</v>
      </c>
      <c r="V24" s="243"/>
      <c r="W24" s="243"/>
      <c r="X24" s="243"/>
      <c r="Y24" s="251">
        <f>(0.17*N10)+1</f>
        <v>7.4600000000000009</v>
      </c>
      <c r="Z24" s="248">
        <f>Y24*0.91</f>
        <v>6.7886000000000006</v>
      </c>
      <c r="AA24" s="248"/>
      <c r="AB24" s="248"/>
      <c r="AC24" s="248">
        <f>Y24*0.76</f>
        <v>5.6696000000000009</v>
      </c>
      <c r="AD24" s="248"/>
    </row>
    <row r="25" spans="13:31" ht="15.75">
      <c r="M25" s="265" t="s">
        <v>226</v>
      </c>
      <c r="N25" s="267" t="s">
        <v>225</v>
      </c>
      <c r="O25" s="267"/>
      <c r="P25" s="267"/>
      <c r="Q25" s="267"/>
      <c r="R25" s="243" t="s">
        <v>224</v>
      </c>
      <c r="S25" s="243"/>
      <c r="T25" s="243"/>
      <c r="U25" s="243" t="s">
        <v>223</v>
      </c>
      <c r="V25" s="243"/>
      <c r="W25" s="243"/>
      <c r="X25" s="243"/>
      <c r="Y25" s="247">
        <v>1.3</v>
      </c>
      <c r="Z25" s="248">
        <v>1.3</v>
      </c>
      <c r="AA25" s="248"/>
      <c r="AB25" s="248"/>
      <c r="AC25" s="248">
        <v>1.3</v>
      </c>
      <c r="AD25" s="248"/>
    </row>
    <row r="26" spans="13:31" ht="29.25" customHeight="1">
      <c r="M26" s="265" t="s">
        <v>222</v>
      </c>
      <c r="N26" s="267" t="s">
        <v>221</v>
      </c>
      <c r="O26" s="267"/>
      <c r="P26" s="267"/>
      <c r="Q26" s="267"/>
      <c r="R26" s="243" t="s">
        <v>220</v>
      </c>
      <c r="S26" s="243"/>
      <c r="T26" s="243"/>
      <c r="U26" s="253" t="s">
        <v>341</v>
      </c>
      <c r="V26" s="254"/>
      <c r="W26" s="254"/>
      <c r="X26" s="255"/>
      <c r="Y26" s="247">
        <f>0.5*T9</f>
        <v>20.399999999999999</v>
      </c>
      <c r="Z26" s="248">
        <f>Y26*0.91</f>
        <v>18.564</v>
      </c>
      <c r="AA26" s="248"/>
      <c r="AB26" s="248"/>
      <c r="AC26" s="248">
        <f>Y26*0.76</f>
        <v>15.504</v>
      </c>
      <c r="AD26" s="248"/>
    </row>
    <row r="27" spans="13:31" ht="15" customHeight="1">
      <c r="M27" s="265" t="s">
        <v>219</v>
      </c>
      <c r="N27" s="267" t="s">
        <v>218</v>
      </c>
      <c r="O27" s="267"/>
      <c r="P27" s="267"/>
      <c r="Q27" s="267"/>
      <c r="R27" s="246" t="s">
        <v>217</v>
      </c>
      <c r="S27" s="246"/>
      <c r="T27" s="246"/>
      <c r="U27" s="243"/>
      <c r="V27" s="243"/>
      <c r="W27" s="243"/>
      <c r="X27" s="243"/>
      <c r="Y27" s="247"/>
      <c r="Z27" s="252"/>
      <c r="AA27" s="252"/>
      <c r="AB27" s="252"/>
      <c r="AC27" s="252"/>
      <c r="AD27" s="252"/>
    </row>
    <row r="28" spans="13:31" ht="31.5" customHeight="1">
      <c r="M28" s="265" t="s">
        <v>216</v>
      </c>
      <c r="N28" s="266" t="s">
        <v>215</v>
      </c>
      <c r="O28" s="266"/>
      <c r="P28" s="266"/>
      <c r="Q28" s="266"/>
      <c r="R28" s="243" t="s">
        <v>214</v>
      </c>
      <c r="S28" s="243"/>
      <c r="T28" s="243"/>
      <c r="U28" s="243" t="s">
        <v>196</v>
      </c>
      <c r="V28" s="243"/>
      <c r="W28" s="243"/>
      <c r="X28" s="243"/>
      <c r="Y28" s="247">
        <v>1</v>
      </c>
      <c r="Z28" s="252">
        <v>1</v>
      </c>
      <c r="AA28" s="252"/>
      <c r="AB28" s="252"/>
      <c r="AC28" s="252">
        <v>1</v>
      </c>
      <c r="AD28" s="252"/>
    </row>
    <row r="29" spans="13:31" ht="15.75">
      <c r="M29" s="265" t="s">
        <v>213</v>
      </c>
      <c r="N29" s="267" t="s">
        <v>212</v>
      </c>
      <c r="O29" s="267"/>
      <c r="P29" s="267"/>
      <c r="Q29" s="267"/>
      <c r="R29" s="243" t="s">
        <v>211</v>
      </c>
      <c r="S29" s="243"/>
      <c r="T29" s="243"/>
      <c r="U29" s="243"/>
      <c r="V29" s="243"/>
      <c r="W29" s="243"/>
      <c r="X29" s="243"/>
      <c r="Y29" s="247"/>
      <c r="Z29" s="252"/>
      <c r="AA29" s="252"/>
      <c r="AB29" s="252"/>
      <c r="AC29" s="252"/>
      <c r="AD29" s="252"/>
    </row>
    <row r="30" spans="13:31" ht="30.75" customHeight="1">
      <c r="M30" s="265" t="s">
        <v>210</v>
      </c>
      <c r="N30" s="267" t="s">
        <v>312</v>
      </c>
      <c r="O30" s="267"/>
      <c r="P30" s="267"/>
      <c r="Q30" s="267"/>
      <c r="R30" s="243" t="s">
        <v>209</v>
      </c>
      <c r="S30" s="243"/>
      <c r="T30" s="243"/>
      <c r="U30" s="246" t="s">
        <v>340</v>
      </c>
      <c r="V30" s="246"/>
      <c r="W30" s="246"/>
      <c r="X30" s="246"/>
      <c r="Y30" s="247">
        <f>0.25*Q9</f>
        <v>23</v>
      </c>
      <c r="Z30" s="248">
        <f>Y30*0.91</f>
        <v>20.93</v>
      </c>
      <c r="AA30" s="248"/>
      <c r="AB30" s="248"/>
      <c r="AC30" s="248">
        <f>Y30*0.76</f>
        <v>17.48</v>
      </c>
      <c r="AD30" s="248"/>
    </row>
    <row r="31" spans="13:31" ht="15.75">
      <c r="M31" s="265" t="s">
        <v>208</v>
      </c>
      <c r="N31" s="267" t="s">
        <v>207</v>
      </c>
      <c r="O31" s="267"/>
      <c r="P31" s="267"/>
      <c r="Q31" s="267"/>
      <c r="R31" s="243" t="s">
        <v>206</v>
      </c>
      <c r="S31" s="243"/>
      <c r="T31" s="243"/>
      <c r="U31" s="243"/>
      <c r="V31" s="243"/>
      <c r="W31" s="243"/>
      <c r="X31" s="243"/>
      <c r="Y31" s="247"/>
      <c r="Z31" s="252"/>
      <c r="AA31" s="252"/>
      <c r="AB31" s="252"/>
      <c r="AC31" s="252"/>
      <c r="AD31" s="252"/>
    </row>
    <row r="32" spans="13:31" ht="15.75">
      <c r="M32" s="265" t="s">
        <v>205</v>
      </c>
      <c r="N32" s="267" t="s">
        <v>204</v>
      </c>
      <c r="O32" s="267"/>
      <c r="P32" s="267"/>
      <c r="Q32" s="267"/>
      <c r="R32" s="243" t="s">
        <v>203</v>
      </c>
      <c r="S32" s="243"/>
      <c r="T32" s="243"/>
      <c r="U32" s="243"/>
      <c r="V32" s="243"/>
      <c r="W32" s="243"/>
      <c r="X32" s="243"/>
      <c r="Y32" s="247"/>
      <c r="Z32" s="252"/>
      <c r="AA32" s="252"/>
      <c r="AB32" s="252"/>
      <c r="AC32" s="252"/>
      <c r="AD32" s="252"/>
    </row>
    <row r="33" spans="13:30" ht="29.25" customHeight="1">
      <c r="M33" s="265" t="s">
        <v>202</v>
      </c>
      <c r="N33" s="267" t="s">
        <v>199</v>
      </c>
      <c r="O33" s="267"/>
      <c r="P33" s="267"/>
      <c r="Q33" s="267"/>
      <c r="R33" s="246" t="s">
        <v>296</v>
      </c>
      <c r="S33" s="246"/>
      <c r="T33" s="246"/>
      <c r="U33" s="243"/>
      <c r="V33" s="243"/>
      <c r="W33" s="243"/>
      <c r="X33" s="243"/>
      <c r="Y33" s="247"/>
      <c r="Z33" s="252"/>
      <c r="AA33" s="252"/>
      <c r="AB33" s="252"/>
      <c r="AC33" s="252"/>
      <c r="AD33" s="252"/>
    </row>
    <row r="34" spans="13:30" ht="29.25" customHeight="1">
      <c r="M34" s="265" t="s">
        <v>201</v>
      </c>
      <c r="N34" s="266" t="s">
        <v>198</v>
      </c>
      <c r="O34" s="266"/>
      <c r="P34" s="266"/>
      <c r="Q34" s="266"/>
      <c r="R34" s="243" t="s">
        <v>197</v>
      </c>
      <c r="S34" s="243"/>
      <c r="T34" s="243"/>
      <c r="U34" s="246" t="s">
        <v>302</v>
      </c>
      <c r="V34" s="246"/>
      <c r="W34" s="246"/>
      <c r="X34" s="246"/>
      <c r="Y34" s="251">
        <f>0.17*N10</f>
        <v>6.4600000000000009</v>
      </c>
      <c r="Z34" s="248">
        <f>Y34*1.02</f>
        <v>6.5892000000000008</v>
      </c>
      <c r="AA34" s="248"/>
      <c r="AB34" s="248"/>
      <c r="AC34" s="248">
        <f>Y34*1.05</f>
        <v>6.7830000000000013</v>
      </c>
      <c r="AD34" s="248"/>
    </row>
    <row r="35" spans="13:30" ht="34.5" customHeight="1">
      <c r="M35" s="265" t="s">
        <v>200</v>
      </c>
      <c r="N35" s="267" t="s">
        <v>195</v>
      </c>
      <c r="O35" s="267"/>
      <c r="P35" s="267"/>
      <c r="Q35" s="267"/>
      <c r="R35" s="256" t="s">
        <v>297</v>
      </c>
      <c r="S35" s="256"/>
      <c r="T35" s="256"/>
      <c r="U35" s="243"/>
      <c r="V35" s="243"/>
      <c r="W35" s="243"/>
      <c r="X35" s="243"/>
      <c r="Y35" s="247"/>
      <c r="Z35" s="252"/>
      <c r="AA35" s="252"/>
      <c r="AB35" s="252"/>
      <c r="AC35" s="252"/>
      <c r="AD35" s="252"/>
    </row>
    <row r="36" spans="13:30" ht="30" customHeight="1">
      <c r="M36" s="265" t="s">
        <v>334</v>
      </c>
      <c r="N36" s="269" t="s">
        <v>190</v>
      </c>
      <c r="O36" s="269"/>
      <c r="P36" s="269"/>
      <c r="Q36" s="269"/>
      <c r="R36" s="243">
        <v>4</v>
      </c>
      <c r="S36" s="243"/>
      <c r="T36" s="243"/>
      <c r="U36" s="243"/>
      <c r="V36" s="243"/>
      <c r="W36" s="243"/>
      <c r="X36" s="243"/>
      <c r="Y36" s="247"/>
      <c r="Z36" s="252"/>
      <c r="AA36" s="252"/>
      <c r="AB36" s="252"/>
      <c r="AC36" s="252"/>
      <c r="AD36" s="252"/>
    </row>
    <row r="37" spans="13:30" ht="15.75">
      <c r="M37" s="265" t="s">
        <v>335</v>
      </c>
      <c r="N37" s="270" t="s">
        <v>188</v>
      </c>
      <c r="O37" s="271"/>
      <c r="P37" s="271"/>
      <c r="Q37" s="272"/>
      <c r="R37" s="257" t="s">
        <v>187</v>
      </c>
      <c r="S37" s="258"/>
      <c r="T37" s="259"/>
      <c r="U37" s="243"/>
      <c r="V37" s="243"/>
      <c r="W37" s="243"/>
      <c r="X37" s="243"/>
      <c r="Y37" s="247"/>
      <c r="Z37" s="252"/>
      <c r="AA37" s="252"/>
      <c r="AB37" s="252"/>
      <c r="AC37" s="252"/>
      <c r="AD37" s="252"/>
    </row>
    <row r="38" spans="13:30" ht="36" customHeight="1">
      <c r="M38" s="265" t="s">
        <v>336</v>
      </c>
      <c r="N38" s="267" t="s">
        <v>185</v>
      </c>
      <c r="O38" s="267"/>
      <c r="P38" s="267"/>
      <c r="Q38" s="267"/>
      <c r="R38" s="243" t="s">
        <v>184</v>
      </c>
      <c r="S38" s="243"/>
      <c r="T38" s="243"/>
      <c r="U38" s="246" t="s">
        <v>344</v>
      </c>
      <c r="V38" s="246"/>
      <c r="W38" s="246"/>
      <c r="X38" s="246"/>
      <c r="Y38" s="247">
        <f>0.5*Y20</f>
        <v>11.1</v>
      </c>
      <c r="Z38" s="248">
        <f>Y38*1.02</f>
        <v>11.321999999999999</v>
      </c>
      <c r="AA38" s="248"/>
      <c r="AB38" s="248"/>
      <c r="AC38" s="248">
        <f>Y38*1.05</f>
        <v>11.654999999999999</v>
      </c>
      <c r="AD38" s="248"/>
    </row>
    <row r="39" spans="13:30" ht="32.25" customHeight="1">
      <c r="M39" s="265" t="s">
        <v>337</v>
      </c>
      <c r="N39" s="267" t="s">
        <v>182</v>
      </c>
      <c r="O39" s="267"/>
      <c r="P39" s="267"/>
      <c r="Q39" s="267"/>
      <c r="R39" s="243" t="s">
        <v>181</v>
      </c>
      <c r="S39" s="243"/>
      <c r="T39" s="243"/>
      <c r="U39" s="246" t="s">
        <v>345</v>
      </c>
      <c r="V39" s="246"/>
      <c r="W39" s="246"/>
      <c r="X39" s="246"/>
      <c r="Y39" s="247">
        <f>X10</f>
        <v>59</v>
      </c>
      <c r="Z39" s="248">
        <f>Y39*1.02</f>
        <v>60.18</v>
      </c>
      <c r="AA39" s="248"/>
      <c r="AB39" s="248"/>
      <c r="AC39" s="248">
        <f>Y39*1.05</f>
        <v>61.95</v>
      </c>
      <c r="AD39" s="248"/>
    </row>
    <row r="40" spans="13:30" ht="35.25" customHeight="1">
      <c r="M40" s="265" t="s">
        <v>338</v>
      </c>
      <c r="N40" s="266" t="s">
        <v>179</v>
      </c>
      <c r="O40" s="266"/>
      <c r="P40" s="266"/>
      <c r="Q40" s="266"/>
      <c r="R40" s="257" t="s">
        <v>178</v>
      </c>
      <c r="S40" s="258"/>
      <c r="T40" s="259"/>
      <c r="U40" s="246" t="s">
        <v>303</v>
      </c>
      <c r="V40" s="246"/>
      <c r="W40" s="246"/>
      <c r="X40" s="246"/>
      <c r="Y40" s="247"/>
      <c r="Z40" s="252"/>
      <c r="AA40" s="252"/>
      <c r="AB40" s="252"/>
      <c r="AC40" s="252"/>
      <c r="AD40" s="252"/>
    </row>
    <row r="41" spans="13:30" ht="29.25" customHeight="1">
      <c r="M41" s="265" t="s">
        <v>333</v>
      </c>
      <c r="N41" s="267"/>
      <c r="O41" s="267"/>
      <c r="P41" s="267"/>
      <c r="Q41" s="267"/>
      <c r="R41" s="246" t="s">
        <v>176</v>
      </c>
      <c r="S41" s="246"/>
      <c r="T41" s="246"/>
      <c r="U41" s="243" t="s">
        <v>175</v>
      </c>
      <c r="V41" s="243"/>
      <c r="W41" s="243"/>
      <c r="X41" s="243"/>
      <c r="Y41" s="247"/>
      <c r="Z41" s="252"/>
      <c r="AA41" s="252"/>
      <c r="AB41" s="252"/>
      <c r="AC41" s="252"/>
      <c r="AD41" s="252"/>
    </row>
    <row r="42" spans="13:30" ht="30.75" customHeight="1">
      <c r="M42" s="265" t="s">
        <v>332</v>
      </c>
      <c r="N42" s="266" t="s">
        <v>173</v>
      </c>
      <c r="O42" s="266"/>
      <c r="P42" s="266"/>
      <c r="Q42" s="266"/>
      <c r="R42" s="243" t="s">
        <v>172</v>
      </c>
      <c r="S42" s="243"/>
      <c r="T42" s="243"/>
      <c r="U42" s="246" t="s">
        <v>346</v>
      </c>
      <c r="V42" s="246"/>
      <c r="W42" s="246"/>
      <c r="X42" s="246"/>
      <c r="Y42" s="247">
        <f>0.5*AC9</f>
        <v>9</v>
      </c>
      <c r="Z42" s="248">
        <f>Y42*0.91</f>
        <v>8.19</v>
      </c>
      <c r="AA42" s="248"/>
      <c r="AB42" s="248"/>
      <c r="AC42" s="260">
        <f>Y42*0.76</f>
        <v>6.84</v>
      </c>
      <c r="AD42" s="260"/>
    </row>
    <row r="43" spans="13:30" ht="33.75" customHeight="1">
      <c r="M43" s="265" t="s">
        <v>331</v>
      </c>
      <c r="N43" s="266" t="s">
        <v>170</v>
      </c>
      <c r="O43" s="266"/>
      <c r="P43" s="266"/>
      <c r="Q43" s="266"/>
      <c r="R43" s="246" t="s">
        <v>169</v>
      </c>
      <c r="S43" s="246"/>
      <c r="T43" s="246"/>
      <c r="U43" s="243"/>
      <c r="V43" s="243"/>
      <c r="W43" s="243"/>
      <c r="X43" s="243"/>
      <c r="Y43" s="247"/>
      <c r="Z43" s="252"/>
      <c r="AA43" s="252"/>
      <c r="AB43" s="252"/>
      <c r="AC43" s="252"/>
      <c r="AD43" s="252"/>
    </row>
    <row r="45" spans="13:30" ht="31.5" customHeight="1"/>
    <row r="46" spans="13:30" ht="36.75" customHeight="1"/>
    <row r="47" spans="13:30" ht="29.25" customHeight="1"/>
    <row r="48" spans="13:30" ht="30.75" customHeight="1"/>
    <row r="49" ht="29.25" customHeight="1"/>
    <row r="50" ht="31.5" customHeight="1"/>
  </sheetData>
  <mergeCells count="145">
    <mergeCell ref="R36:T36"/>
    <mergeCell ref="U36:X36"/>
    <mergeCell ref="Z36:AB36"/>
    <mergeCell ref="AC36:AD36"/>
    <mergeCell ref="U37:X37"/>
    <mergeCell ref="Z37:AB37"/>
    <mergeCell ref="AC37:AD37"/>
    <mergeCell ref="N37:Q37"/>
    <mergeCell ref="R37:T37"/>
    <mergeCell ref="AC41:AD41"/>
    <mergeCell ref="N33:Q33"/>
    <mergeCell ref="AC38:AD38"/>
    <mergeCell ref="R39:T39"/>
    <mergeCell ref="R40:T40"/>
    <mergeCell ref="N39:Q39"/>
    <mergeCell ref="N40:Q40"/>
    <mergeCell ref="Z35:AB35"/>
    <mergeCell ref="AC39:AD39"/>
    <mergeCell ref="Z40:AB40"/>
    <mergeCell ref="AC40:AD40"/>
    <mergeCell ref="U39:X39"/>
    <mergeCell ref="U40:X40"/>
    <mergeCell ref="Z39:AB39"/>
    <mergeCell ref="Z43:AB43"/>
    <mergeCell ref="Z42:AB42"/>
    <mergeCell ref="Z41:AB41"/>
    <mergeCell ref="AC43:AD43"/>
    <mergeCell ref="AC42:AD42"/>
    <mergeCell ref="R34:T34"/>
    <mergeCell ref="R33:T33"/>
    <mergeCell ref="R21:T21"/>
    <mergeCell ref="R22:T22"/>
    <mergeCell ref="R28:T28"/>
    <mergeCell ref="R38:T38"/>
    <mergeCell ref="R29:T29"/>
    <mergeCell ref="R30:T30"/>
    <mergeCell ref="R31:T31"/>
    <mergeCell ref="R32:T32"/>
    <mergeCell ref="U28:X28"/>
    <mergeCell ref="U29:X29"/>
    <mergeCell ref="AC28:AD28"/>
    <mergeCell ref="AC29:AD29"/>
    <mergeCell ref="Z38:AB38"/>
    <mergeCell ref="Z34:AB34"/>
    <mergeCell ref="AC35:AD35"/>
    <mergeCell ref="AC30:AD30"/>
    <mergeCell ref="N43:Q43"/>
    <mergeCell ref="N41:Q41"/>
    <mergeCell ref="M14:AD14"/>
    <mergeCell ref="R41:T41"/>
    <mergeCell ref="R42:T42"/>
    <mergeCell ref="R43:T43"/>
    <mergeCell ref="N42:Q42"/>
    <mergeCell ref="N38:Q38"/>
    <mergeCell ref="N35:Q35"/>
    <mergeCell ref="N30:Q30"/>
    <mergeCell ref="N31:Q31"/>
    <mergeCell ref="N32:Q32"/>
    <mergeCell ref="R23:T23"/>
    <mergeCell ref="R24:T24"/>
    <mergeCell ref="R25:T25"/>
    <mergeCell ref="R26:T26"/>
    <mergeCell ref="R27:T27"/>
    <mergeCell ref="R35:T35"/>
    <mergeCell ref="N21:Q21"/>
    <mergeCell ref="N22:Q22"/>
    <mergeCell ref="N23:Q23"/>
    <mergeCell ref="N34:Q34"/>
    <mergeCell ref="N24:Q24"/>
    <mergeCell ref="N25:Q25"/>
    <mergeCell ref="N26:Q26"/>
    <mergeCell ref="N27:Q27"/>
    <mergeCell ref="AC18:AD18"/>
    <mergeCell ref="AC19:AD19"/>
    <mergeCell ref="Z17:AB17"/>
    <mergeCell ref="Z18:AB18"/>
    <mergeCell ref="Z20:AB20"/>
    <mergeCell ref="U26:X26"/>
    <mergeCell ref="U27:X27"/>
    <mergeCell ref="U21:X21"/>
    <mergeCell ref="U22:X22"/>
    <mergeCell ref="U23:X23"/>
    <mergeCell ref="U24:X24"/>
    <mergeCell ref="U25:X25"/>
    <mergeCell ref="AC26:AD26"/>
    <mergeCell ref="AC27:AD27"/>
    <mergeCell ref="Z26:AB26"/>
    <mergeCell ref="Z27:AB27"/>
    <mergeCell ref="R17:T17"/>
    <mergeCell ref="R19:T19"/>
    <mergeCell ref="R20:T20"/>
    <mergeCell ref="AC16:AD16"/>
    <mergeCell ref="Z16:AB16"/>
    <mergeCell ref="AC17:AD17"/>
    <mergeCell ref="N16:Q16"/>
    <mergeCell ref="N17:Q17"/>
    <mergeCell ref="N18:Q18"/>
    <mergeCell ref="R18:T18"/>
    <mergeCell ref="R16:T16"/>
    <mergeCell ref="U16:X16"/>
    <mergeCell ref="U17:X17"/>
    <mergeCell ref="U18:X18"/>
    <mergeCell ref="U19:X19"/>
    <mergeCell ref="U20:X20"/>
    <mergeCell ref="U43:X43"/>
    <mergeCell ref="U41:X41"/>
    <mergeCell ref="U42:X42"/>
    <mergeCell ref="U30:X30"/>
    <mergeCell ref="U38:X38"/>
    <mergeCell ref="U35:X35"/>
    <mergeCell ref="M7:AD7"/>
    <mergeCell ref="M6:AD6"/>
    <mergeCell ref="Z19:AB19"/>
    <mergeCell ref="AC31:AD31"/>
    <mergeCell ref="AC32:AD32"/>
    <mergeCell ref="AC33:AD33"/>
    <mergeCell ref="AC34:AD34"/>
    <mergeCell ref="AC20:AD20"/>
    <mergeCell ref="AC21:AD21"/>
    <mergeCell ref="AC22:AD22"/>
    <mergeCell ref="AC23:AD23"/>
    <mergeCell ref="AC24:AD24"/>
    <mergeCell ref="AC25:AD25"/>
    <mergeCell ref="N28:Q28"/>
    <mergeCell ref="N29:Q29"/>
    <mergeCell ref="U31:X31"/>
    <mergeCell ref="U32:X32"/>
    <mergeCell ref="U33:X33"/>
    <mergeCell ref="U34:X34"/>
    <mergeCell ref="M15:AD15"/>
    <mergeCell ref="M13:AD13"/>
    <mergeCell ref="M12:AD12"/>
    <mergeCell ref="N19:Q19"/>
    <mergeCell ref="N20:Q20"/>
    <mergeCell ref="Z30:AB30"/>
    <mergeCell ref="Z31:AB31"/>
    <mergeCell ref="Z32:AB32"/>
    <mergeCell ref="Z33:AB33"/>
    <mergeCell ref="Z25:AB25"/>
    <mergeCell ref="Z28:AB28"/>
    <mergeCell ref="Z29:AB29"/>
    <mergeCell ref="Z21:AB21"/>
    <mergeCell ref="Z22:AB22"/>
    <mergeCell ref="Z23:AB23"/>
    <mergeCell ref="Z24:AB2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P12"/>
  <sheetViews>
    <sheetView tabSelected="1" workbookViewId="0">
      <selection activeCell="J18" sqref="J18"/>
    </sheetView>
  </sheetViews>
  <sheetFormatPr defaultRowHeight="15"/>
  <cols>
    <col min="2" max="2" width="22.28515625" customWidth="1"/>
    <col min="3" max="3" width="12" customWidth="1"/>
    <col min="4" max="4" width="10.28515625" customWidth="1"/>
    <col min="5" max="5" width="13.42578125" customWidth="1"/>
    <col min="6" max="6" width="10.85546875" customWidth="1"/>
    <col min="10" max="10" width="23.85546875" customWidth="1"/>
    <col min="11" max="11" width="8.28515625" customWidth="1"/>
    <col min="13" max="13" width="13" customWidth="1"/>
  </cols>
  <sheetData>
    <row r="4" spans="2:16" ht="49.5" customHeight="1">
      <c r="B4" s="114" t="s">
        <v>158</v>
      </c>
      <c r="C4" s="143" t="s">
        <v>330</v>
      </c>
      <c r="D4" s="114" t="s">
        <v>192</v>
      </c>
      <c r="E4" s="143" t="s">
        <v>304</v>
      </c>
      <c r="F4" s="114" t="s">
        <v>15</v>
      </c>
      <c r="G4" s="114" t="s">
        <v>16</v>
      </c>
      <c r="J4" s="137" t="s">
        <v>158</v>
      </c>
      <c r="K4" s="137" t="s">
        <v>15</v>
      </c>
      <c r="L4" s="137" t="s">
        <v>16</v>
      </c>
      <c r="M4" s="137" t="s">
        <v>322</v>
      </c>
      <c r="N4" s="137" t="s">
        <v>323</v>
      </c>
      <c r="O4" s="210" t="s">
        <v>324</v>
      </c>
      <c r="P4" s="210" t="s">
        <v>325</v>
      </c>
    </row>
    <row r="5" spans="2:16">
      <c r="B5" s="115" t="s">
        <v>229</v>
      </c>
      <c r="C5" s="93" t="s">
        <v>228</v>
      </c>
      <c r="D5" s="93" t="s">
        <v>227</v>
      </c>
      <c r="E5" s="93">
        <v>7.5</v>
      </c>
      <c r="F5" s="93">
        <v>6.8</v>
      </c>
      <c r="G5" s="93">
        <v>5.7</v>
      </c>
      <c r="J5" s="93" t="s">
        <v>198</v>
      </c>
      <c r="K5" s="93">
        <v>6.6</v>
      </c>
      <c r="L5" s="93">
        <v>6.8</v>
      </c>
      <c r="M5" s="93">
        <v>6.2</v>
      </c>
      <c r="N5" s="93">
        <v>6.4</v>
      </c>
      <c r="O5" s="93">
        <f>K5-M5</f>
        <v>0.39999999999999947</v>
      </c>
      <c r="P5" s="93">
        <f>L5-N5</f>
        <v>0.39999999999999947</v>
      </c>
    </row>
    <row r="6" spans="2:16">
      <c r="B6" s="115" t="s">
        <v>221</v>
      </c>
      <c r="C6" s="93" t="s">
        <v>311</v>
      </c>
      <c r="D6" s="93" t="s">
        <v>316</v>
      </c>
      <c r="E6" s="93">
        <v>20.399999999999999</v>
      </c>
      <c r="F6" s="93">
        <v>18.600000000000001</v>
      </c>
      <c r="G6" s="93">
        <v>15.5</v>
      </c>
      <c r="J6" s="93" t="s">
        <v>312</v>
      </c>
      <c r="K6" s="93">
        <v>20.9</v>
      </c>
      <c r="L6" s="93">
        <v>17.5</v>
      </c>
      <c r="M6" s="93">
        <v>20.5</v>
      </c>
      <c r="N6" s="93">
        <v>17.100000000000001</v>
      </c>
      <c r="O6" s="93">
        <f t="shared" ref="O6:O10" si="0">K6-M6</f>
        <v>0.39999999999999858</v>
      </c>
      <c r="P6" s="93">
        <f t="shared" ref="P6:P10" si="1">L6-N6</f>
        <v>0.39999999999999858</v>
      </c>
    </row>
    <row r="7" spans="2:16">
      <c r="B7" s="115" t="s">
        <v>312</v>
      </c>
      <c r="C7" s="93" t="s">
        <v>209</v>
      </c>
      <c r="D7" s="93" t="s">
        <v>317</v>
      </c>
      <c r="E7" s="93">
        <v>23</v>
      </c>
      <c r="F7" s="93">
        <v>20.9</v>
      </c>
      <c r="G7" s="93">
        <v>17.5</v>
      </c>
      <c r="J7" s="93" t="s">
        <v>239</v>
      </c>
      <c r="K7" s="93">
        <v>22.6</v>
      </c>
      <c r="L7" s="93">
        <v>23.3</v>
      </c>
      <c r="M7" s="93">
        <v>22.3</v>
      </c>
      <c r="N7" s="93">
        <v>23</v>
      </c>
      <c r="O7" s="93">
        <f t="shared" si="0"/>
        <v>0.30000000000000071</v>
      </c>
      <c r="P7" s="93">
        <f t="shared" si="1"/>
        <v>0.30000000000000071</v>
      </c>
    </row>
    <row r="8" spans="2:16">
      <c r="B8" s="117" t="s">
        <v>198</v>
      </c>
      <c r="C8" s="93" t="s">
        <v>313</v>
      </c>
      <c r="D8" s="93" t="s">
        <v>318</v>
      </c>
      <c r="E8" s="93">
        <v>6.5</v>
      </c>
      <c r="F8" s="93">
        <v>6.6</v>
      </c>
      <c r="G8" s="93">
        <v>6.8</v>
      </c>
      <c r="J8" s="93" t="s">
        <v>173</v>
      </c>
      <c r="K8" s="144">
        <v>8.1999999999999993</v>
      </c>
      <c r="L8" s="144">
        <v>7</v>
      </c>
      <c r="M8" s="93">
        <v>7.7</v>
      </c>
      <c r="N8" s="93">
        <v>6.4</v>
      </c>
      <c r="O8" s="93">
        <f t="shared" si="0"/>
        <v>0.49999999999999911</v>
      </c>
      <c r="P8" s="93">
        <f t="shared" si="1"/>
        <v>0.59999999999999964</v>
      </c>
    </row>
    <row r="9" spans="2:16">
      <c r="B9" s="117" t="s">
        <v>239</v>
      </c>
      <c r="C9" s="93" t="s">
        <v>238</v>
      </c>
      <c r="D9" s="93" t="s">
        <v>319</v>
      </c>
      <c r="E9" s="93">
        <v>22.2</v>
      </c>
      <c r="F9" s="93">
        <v>22.6</v>
      </c>
      <c r="G9" s="93">
        <v>23.3</v>
      </c>
      <c r="J9" s="93" t="s">
        <v>242</v>
      </c>
      <c r="K9" s="93">
        <v>55.1</v>
      </c>
      <c r="L9" s="93">
        <v>56.7</v>
      </c>
      <c r="M9" s="93">
        <v>54.6</v>
      </c>
      <c r="N9" s="93">
        <v>56.2</v>
      </c>
      <c r="O9" s="93">
        <f t="shared" si="0"/>
        <v>0.5</v>
      </c>
      <c r="P9" s="93">
        <f t="shared" si="1"/>
        <v>0.5</v>
      </c>
    </row>
    <row r="10" spans="2:16">
      <c r="B10" s="117" t="s">
        <v>242</v>
      </c>
      <c r="C10" s="93" t="s">
        <v>241</v>
      </c>
      <c r="D10" s="93" t="s">
        <v>240</v>
      </c>
      <c r="E10" s="93">
        <v>54</v>
      </c>
      <c r="F10" s="93">
        <v>55.1</v>
      </c>
      <c r="G10" s="93">
        <v>56.7</v>
      </c>
      <c r="J10" s="93" t="s">
        <v>182</v>
      </c>
      <c r="K10" s="93">
        <v>60.2</v>
      </c>
      <c r="L10" s="93">
        <v>62</v>
      </c>
      <c r="M10" s="93">
        <v>62.2</v>
      </c>
      <c r="N10" s="93">
        <v>66.400000000000006</v>
      </c>
      <c r="O10" s="93">
        <f t="shared" si="0"/>
        <v>-2</v>
      </c>
      <c r="P10" s="93">
        <f t="shared" si="1"/>
        <v>-4.4000000000000057</v>
      </c>
    </row>
    <row r="11" spans="2:16">
      <c r="B11" s="117" t="s">
        <v>185</v>
      </c>
      <c r="C11" s="93" t="s">
        <v>314</v>
      </c>
      <c r="D11" s="93" t="s">
        <v>235</v>
      </c>
      <c r="E11" s="93">
        <v>11.1</v>
      </c>
      <c r="F11" s="93">
        <v>11.3</v>
      </c>
      <c r="G11" s="93">
        <v>11.7</v>
      </c>
    </row>
    <row r="12" spans="2:16">
      <c r="B12" s="117" t="s">
        <v>182</v>
      </c>
      <c r="C12" s="93" t="s">
        <v>315</v>
      </c>
      <c r="D12" s="93" t="s">
        <v>320</v>
      </c>
      <c r="E12" s="93">
        <v>59</v>
      </c>
      <c r="F12" s="93">
        <v>60.2</v>
      </c>
      <c r="G12" s="93">
        <v>62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76"/>
  <sheetViews>
    <sheetView zoomScale="55" zoomScaleNormal="55" workbookViewId="0">
      <selection activeCell="D74" sqref="D74"/>
    </sheetView>
  </sheetViews>
  <sheetFormatPr defaultColWidth="8.7109375" defaultRowHeight="15"/>
  <cols>
    <col min="2" max="2" width="14.42578125" customWidth="1"/>
    <col min="3" max="3" width="17.42578125" customWidth="1"/>
    <col min="4" max="4" width="18.42578125" customWidth="1"/>
    <col min="5" max="5" width="9.42578125" customWidth="1"/>
    <col min="6" max="6" width="11.7109375" customWidth="1"/>
    <col min="7" max="7" width="16.28515625" customWidth="1"/>
    <col min="8" max="8" width="15.28515625" customWidth="1"/>
    <col min="11" max="11" width="13.140625" customWidth="1"/>
    <col min="12" max="12" width="15.28515625" customWidth="1"/>
    <col min="13" max="13" width="12.7109375" customWidth="1"/>
    <col min="16" max="16" width="12" customWidth="1"/>
    <col min="17" max="17" width="12.140625" customWidth="1"/>
    <col min="18" max="18" width="12.42578125" customWidth="1"/>
    <col min="21" max="21" width="12.140625" customWidth="1"/>
    <col min="22" max="22" width="12.7109375" customWidth="1"/>
    <col min="23" max="23" width="12.42578125" customWidth="1"/>
    <col min="26" max="27" width="12.42578125" customWidth="1"/>
    <col min="28" max="28" width="12.140625" customWidth="1"/>
  </cols>
  <sheetData>
    <row r="3" spans="2:19" ht="75.75" customHeight="1">
      <c r="B3" s="1" t="s">
        <v>0</v>
      </c>
      <c r="C3" s="3" t="s">
        <v>1</v>
      </c>
      <c r="D3" s="3" t="s">
        <v>2</v>
      </c>
      <c r="G3" s="1" t="s">
        <v>3</v>
      </c>
      <c r="H3" s="3" t="s">
        <v>1</v>
      </c>
      <c r="I3" s="3" t="s">
        <v>2</v>
      </c>
      <c r="L3" s="1" t="s">
        <v>4</v>
      </c>
      <c r="M3" s="3" t="s">
        <v>1</v>
      </c>
      <c r="N3" s="3" t="s">
        <v>2</v>
      </c>
      <c r="Q3" s="1" t="s">
        <v>5</v>
      </c>
      <c r="R3" s="3" t="s">
        <v>1</v>
      </c>
      <c r="S3" s="3" t="s">
        <v>2</v>
      </c>
    </row>
    <row r="4" spans="2:19">
      <c r="B4" s="1">
        <v>1</v>
      </c>
      <c r="C4" s="11">
        <v>323.81</v>
      </c>
      <c r="D4" s="11" t="s">
        <v>8</v>
      </c>
      <c r="G4" s="1">
        <v>1</v>
      </c>
      <c r="H4" s="2">
        <v>103.44</v>
      </c>
      <c r="I4" s="2" t="s">
        <v>9</v>
      </c>
      <c r="L4" s="1">
        <v>1</v>
      </c>
      <c r="M4" s="2" t="s">
        <v>10</v>
      </c>
      <c r="N4" s="2" t="s">
        <v>11</v>
      </c>
      <c r="Q4" s="1">
        <v>1</v>
      </c>
      <c r="R4" s="2" t="s">
        <v>12</v>
      </c>
      <c r="S4" s="2" t="s">
        <v>13</v>
      </c>
    </row>
    <row r="5" spans="2:19" ht="16.5" customHeight="1">
      <c r="B5" s="1">
        <v>2</v>
      </c>
      <c r="C5" s="11">
        <v>355.72</v>
      </c>
      <c r="D5" s="11" t="s">
        <v>17</v>
      </c>
      <c r="G5" s="1">
        <v>2</v>
      </c>
      <c r="H5" s="2" t="s">
        <v>18</v>
      </c>
      <c r="I5" s="2" t="s">
        <v>19</v>
      </c>
      <c r="L5" s="1">
        <v>2</v>
      </c>
      <c r="M5" s="2" t="s">
        <v>20</v>
      </c>
      <c r="N5" s="2" t="s">
        <v>21</v>
      </c>
      <c r="Q5" s="1">
        <v>2</v>
      </c>
      <c r="R5" s="2" t="s">
        <v>22</v>
      </c>
      <c r="S5" s="2" t="s">
        <v>23</v>
      </c>
    </row>
    <row r="6" spans="2:19">
      <c r="B6" s="1">
        <v>3</v>
      </c>
      <c r="C6" s="11">
        <v>306.87</v>
      </c>
      <c r="D6" s="11" t="s">
        <v>26</v>
      </c>
      <c r="G6" s="1">
        <v>3</v>
      </c>
      <c r="H6" s="2" t="s">
        <v>27</v>
      </c>
      <c r="I6" s="2" t="s">
        <v>28</v>
      </c>
      <c r="L6" s="1">
        <v>3</v>
      </c>
      <c r="M6" s="2" t="s">
        <v>29</v>
      </c>
      <c r="N6" s="2" t="s">
        <v>30</v>
      </c>
      <c r="Q6" s="1">
        <v>3</v>
      </c>
      <c r="R6" s="2" t="s">
        <v>31</v>
      </c>
      <c r="S6" s="2" t="s">
        <v>32</v>
      </c>
    </row>
    <row r="7" spans="2:19" ht="15" customHeight="1">
      <c r="B7" s="1">
        <v>4</v>
      </c>
      <c r="C7" s="11">
        <v>315.01</v>
      </c>
      <c r="D7" s="11" t="s">
        <v>35</v>
      </c>
      <c r="G7" s="1">
        <v>4</v>
      </c>
      <c r="H7" s="2" t="s">
        <v>36</v>
      </c>
      <c r="I7" s="2" t="s">
        <v>37</v>
      </c>
      <c r="L7" s="1">
        <v>4</v>
      </c>
      <c r="M7" s="2" t="s">
        <v>38</v>
      </c>
      <c r="N7" s="2" t="s">
        <v>39</v>
      </c>
      <c r="Q7" s="1">
        <v>4</v>
      </c>
      <c r="R7" s="2" t="s">
        <v>40</v>
      </c>
      <c r="S7" s="2" t="s">
        <v>41</v>
      </c>
    </row>
    <row r="8" spans="2:19" ht="15" customHeight="1">
      <c r="B8" s="1">
        <v>5</v>
      </c>
      <c r="C8" s="11">
        <v>246.37</v>
      </c>
      <c r="D8" s="11" t="s">
        <v>43</v>
      </c>
      <c r="G8" s="1">
        <v>5</v>
      </c>
      <c r="H8" s="2" t="s">
        <v>44</v>
      </c>
      <c r="I8" s="2" t="s">
        <v>45</v>
      </c>
      <c r="L8" s="1">
        <v>5</v>
      </c>
      <c r="M8" s="2" t="s">
        <v>46</v>
      </c>
      <c r="N8" s="2" t="s">
        <v>47</v>
      </c>
      <c r="Q8" s="1">
        <v>5</v>
      </c>
      <c r="R8" s="2" t="s">
        <v>48</v>
      </c>
      <c r="S8" s="2" t="s">
        <v>49</v>
      </c>
    </row>
    <row r="9" spans="2:19">
      <c r="B9" s="1">
        <v>6</v>
      </c>
      <c r="C9" s="11">
        <v>297.66000000000003</v>
      </c>
      <c r="D9" s="11" t="s">
        <v>52</v>
      </c>
      <c r="G9" s="1">
        <v>6</v>
      </c>
      <c r="H9" s="2" t="s">
        <v>53</v>
      </c>
      <c r="I9" s="2" t="s">
        <v>54</v>
      </c>
      <c r="L9" s="1">
        <v>6</v>
      </c>
      <c r="M9" s="2" t="s">
        <v>55</v>
      </c>
      <c r="N9" s="2" t="s">
        <v>56</v>
      </c>
      <c r="Q9" s="1">
        <v>6</v>
      </c>
      <c r="R9" s="2" t="s">
        <v>57</v>
      </c>
      <c r="S9" s="2" t="s">
        <v>58</v>
      </c>
    </row>
    <row r="10" spans="2:19">
      <c r="B10" s="1">
        <v>7</v>
      </c>
      <c r="C10" s="11">
        <v>328.23</v>
      </c>
      <c r="D10" s="11" t="s">
        <v>61</v>
      </c>
      <c r="G10" s="1">
        <v>7</v>
      </c>
      <c r="H10" s="2" t="s">
        <v>62</v>
      </c>
      <c r="I10" s="2" t="s">
        <v>63</v>
      </c>
      <c r="L10" s="1">
        <v>7</v>
      </c>
      <c r="M10" s="2" t="s">
        <v>64</v>
      </c>
      <c r="N10" s="2" t="s">
        <v>65</v>
      </c>
      <c r="Q10" s="1">
        <v>7</v>
      </c>
      <c r="R10" s="2" t="s">
        <v>66</v>
      </c>
      <c r="S10" s="2" t="s">
        <v>67</v>
      </c>
    </row>
    <row r="11" spans="2:19">
      <c r="B11" s="1">
        <v>8</v>
      </c>
      <c r="C11" s="11">
        <v>318.62</v>
      </c>
      <c r="D11" s="11" t="s">
        <v>69</v>
      </c>
      <c r="G11" s="1">
        <v>8</v>
      </c>
      <c r="H11" s="2" t="s">
        <v>70</v>
      </c>
      <c r="I11" s="2" t="s">
        <v>71</v>
      </c>
      <c r="L11" s="1">
        <v>8</v>
      </c>
      <c r="M11" s="2" t="s">
        <v>72</v>
      </c>
      <c r="N11" s="2" t="s">
        <v>73</v>
      </c>
      <c r="Q11" s="1">
        <v>8</v>
      </c>
      <c r="R11" s="2" t="s">
        <v>74</v>
      </c>
      <c r="S11" s="2" t="s">
        <v>75</v>
      </c>
    </row>
    <row r="12" spans="2:19">
      <c r="B12" s="1">
        <v>9</v>
      </c>
      <c r="C12" s="11">
        <v>331.8</v>
      </c>
      <c r="D12" s="11" t="s">
        <v>76</v>
      </c>
      <c r="G12" s="1">
        <v>9</v>
      </c>
      <c r="H12" s="2" t="s">
        <v>77</v>
      </c>
      <c r="I12" s="2" t="s">
        <v>78</v>
      </c>
      <c r="L12" s="1">
        <v>9</v>
      </c>
      <c r="M12" s="2" t="s">
        <v>79</v>
      </c>
      <c r="N12" s="2" t="s">
        <v>80</v>
      </c>
      <c r="Q12" s="1">
        <v>9</v>
      </c>
      <c r="R12" s="2" t="s">
        <v>81</v>
      </c>
      <c r="S12" s="2" t="s">
        <v>82</v>
      </c>
    </row>
    <row r="13" spans="2:19">
      <c r="B13" s="1">
        <v>10</v>
      </c>
      <c r="C13" s="11">
        <v>314.27999999999997</v>
      </c>
      <c r="D13" s="11" t="s">
        <v>83</v>
      </c>
      <c r="G13" s="1">
        <v>10</v>
      </c>
      <c r="H13" s="2" t="s">
        <v>84</v>
      </c>
      <c r="I13" s="2" t="s">
        <v>85</v>
      </c>
      <c r="L13" s="1">
        <v>10</v>
      </c>
      <c r="M13" s="2" t="s">
        <v>86</v>
      </c>
      <c r="N13" s="2" t="s">
        <v>87</v>
      </c>
      <c r="Q13" s="1">
        <v>10</v>
      </c>
      <c r="R13" s="2" t="s">
        <v>88</v>
      </c>
      <c r="S13" s="2" t="s">
        <v>89</v>
      </c>
    </row>
    <row r="14" spans="2:19">
      <c r="B14" s="31" t="s">
        <v>90</v>
      </c>
      <c r="C14" s="32">
        <f>(C27+C32)/2</f>
        <v>317.55</v>
      </c>
      <c r="D14" s="32">
        <f>(D27+D32)/2</f>
        <v>71.61</v>
      </c>
      <c r="E14" s="24"/>
      <c r="F14" s="24"/>
      <c r="G14" s="33" t="s">
        <v>90</v>
      </c>
      <c r="H14" s="32">
        <f>(H27+H32)/2</f>
        <v>108.97499999999999</v>
      </c>
      <c r="I14" s="32">
        <f>(I27+I32)/2</f>
        <v>334.69150000000002</v>
      </c>
      <c r="J14" s="24"/>
      <c r="K14" s="24"/>
      <c r="L14" s="33" t="s">
        <v>90</v>
      </c>
      <c r="M14" s="32">
        <f>(M27+M32)/2</f>
        <v>171.22</v>
      </c>
      <c r="N14" s="32">
        <f>(N27+N32)/2</f>
        <v>66.248000000000005</v>
      </c>
      <c r="O14" s="24"/>
      <c r="P14" s="24"/>
      <c r="Q14" s="33" t="s">
        <v>90</v>
      </c>
      <c r="R14" s="32">
        <f>(R27+R32)/2</f>
        <v>127.41</v>
      </c>
      <c r="S14" s="32">
        <f>(S27+S32)/2</f>
        <v>167.2825</v>
      </c>
    </row>
    <row r="15" spans="2:19">
      <c r="B15" s="1" t="s">
        <v>91</v>
      </c>
      <c r="C15" s="2" t="s">
        <v>92</v>
      </c>
      <c r="D15" s="2" t="s">
        <v>93</v>
      </c>
      <c r="G15" s="4" t="s">
        <v>91</v>
      </c>
      <c r="H15" s="5" t="s">
        <v>94</v>
      </c>
      <c r="I15" s="5" t="s">
        <v>95</v>
      </c>
      <c r="L15" s="4" t="s">
        <v>91</v>
      </c>
      <c r="M15" s="5" t="s">
        <v>96</v>
      </c>
      <c r="N15" s="5" t="s">
        <v>97</v>
      </c>
      <c r="Q15" s="4" t="s">
        <v>91</v>
      </c>
      <c r="R15" s="5" t="s">
        <v>98</v>
      </c>
      <c r="S15" s="5" t="s">
        <v>99</v>
      </c>
    </row>
    <row r="16" spans="2:19" ht="14.85" customHeight="1">
      <c r="B16" s="1" t="s">
        <v>100</v>
      </c>
      <c r="C16" s="2" t="s">
        <v>101</v>
      </c>
      <c r="D16" s="2">
        <v>11.385999999999999</v>
      </c>
      <c r="G16" s="1" t="s">
        <v>102</v>
      </c>
      <c r="H16" s="2" t="s">
        <v>103</v>
      </c>
      <c r="I16" s="2" t="s">
        <v>104</v>
      </c>
      <c r="L16" s="1" t="s">
        <v>102</v>
      </c>
      <c r="M16" s="2" t="s">
        <v>105</v>
      </c>
      <c r="N16" s="2" t="s">
        <v>106</v>
      </c>
      <c r="Q16" s="1" t="s">
        <v>102</v>
      </c>
      <c r="R16" s="2" t="s">
        <v>107</v>
      </c>
      <c r="S16" s="2" t="s">
        <v>108</v>
      </c>
    </row>
    <row r="17" spans="2:20" ht="14.85" customHeight="1"/>
    <row r="18" spans="2:20" ht="14.85" customHeight="1"/>
    <row r="20" spans="2:20" ht="15" customHeight="1">
      <c r="B20" s="37"/>
      <c r="C20" s="37"/>
      <c r="D20" s="37"/>
      <c r="G20" s="36"/>
      <c r="H20" s="36"/>
      <c r="I20" s="36"/>
      <c r="L20" s="36"/>
      <c r="M20" s="36"/>
      <c r="N20" s="36"/>
      <c r="Q20" s="36"/>
      <c r="R20" s="36"/>
      <c r="S20" s="36"/>
    </row>
    <row r="21" spans="2:20" ht="14.85" customHeight="1">
      <c r="C21" s="37"/>
      <c r="D21" s="37"/>
      <c r="G21" s="36"/>
      <c r="H21" s="36"/>
      <c r="I21" s="36"/>
      <c r="L21" s="36"/>
      <c r="M21" s="36"/>
      <c r="N21" s="36"/>
      <c r="Q21" s="36"/>
      <c r="R21" s="36"/>
      <c r="S21" s="36"/>
    </row>
    <row r="22" spans="2:20" ht="14.85" customHeight="1">
      <c r="C22" s="37"/>
      <c r="D22" s="37"/>
      <c r="G22" s="36"/>
      <c r="H22" s="36"/>
      <c r="I22" s="36"/>
      <c r="L22" s="36"/>
      <c r="M22" s="36"/>
      <c r="N22" s="36"/>
      <c r="Q22" s="36"/>
      <c r="R22" s="36"/>
      <c r="S22" s="36"/>
    </row>
    <row r="25" spans="2:20">
      <c r="C25" s="89">
        <v>246.37</v>
      </c>
      <c r="D25" s="22" t="s">
        <v>52</v>
      </c>
      <c r="E25" s="14"/>
      <c r="F25" s="14"/>
      <c r="G25" s="14"/>
      <c r="H25" s="16">
        <v>103.44</v>
      </c>
      <c r="I25" s="16" t="s">
        <v>9</v>
      </c>
      <c r="J25" s="14"/>
      <c r="K25" s="14"/>
      <c r="L25" s="14"/>
      <c r="M25" s="16" t="s">
        <v>86</v>
      </c>
      <c r="N25" s="16" t="s">
        <v>73</v>
      </c>
      <c r="O25" s="14"/>
      <c r="P25" s="14"/>
      <c r="Q25" s="14"/>
      <c r="R25" s="16" t="s">
        <v>22</v>
      </c>
      <c r="S25" s="16" t="s">
        <v>82</v>
      </c>
    </row>
    <row r="26" spans="2:20">
      <c r="C26" s="22">
        <v>297.66000000000003</v>
      </c>
      <c r="D26" s="22" t="s">
        <v>43</v>
      </c>
      <c r="E26" s="14"/>
      <c r="F26" s="14"/>
      <c r="G26" s="14"/>
      <c r="H26" s="16" t="s">
        <v>84</v>
      </c>
      <c r="I26" s="16" t="s">
        <v>28</v>
      </c>
      <c r="J26" s="23"/>
      <c r="K26" s="23"/>
      <c r="L26" s="14"/>
      <c r="M26" s="16" t="s">
        <v>29</v>
      </c>
      <c r="N26" s="16" t="s">
        <v>11</v>
      </c>
      <c r="O26" s="14"/>
      <c r="P26" s="14"/>
      <c r="Q26" s="14"/>
      <c r="R26" s="16" t="s">
        <v>12</v>
      </c>
      <c r="S26" s="16" t="s">
        <v>67</v>
      </c>
    </row>
    <row r="27" spans="2:20">
      <c r="C27" s="22">
        <v>306.87</v>
      </c>
      <c r="D27" s="22" t="s">
        <v>61</v>
      </c>
      <c r="E27" s="14" t="s">
        <v>120</v>
      </c>
      <c r="F27" s="14"/>
      <c r="G27" s="14"/>
      <c r="H27" s="16" t="s">
        <v>36</v>
      </c>
      <c r="I27" s="16" t="s">
        <v>54</v>
      </c>
      <c r="J27" s="14" t="s">
        <v>120</v>
      </c>
      <c r="K27" s="14"/>
      <c r="L27" s="14"/>
      <c r="M27" s="16" t="s">
        <v>20</v>
      </c>
      <c r="N27" s="16" t="s">
        <v>56</v>
      </c>
      <c r="O27" s="14" t="s">
        <v>120</v>
      </c>
      <c r="P27" s="14"/>
      <c r="Q27" s="14"/>
      <c r="R27" s="16" t="s">
        <v>57</v>
      </c>
      <c r="S27" s="16" t="s">
        <v>13</v>
      </c>
      <c r="T27" t="s">
        <v>120</v>
      </c>
    </row>
    <row r="28" spans="2:20">
      <c r="C28" s="22">
        <v>314.27999999999997</v>
      </c>
      <c r="D28" s="22" t="s">
        <v>35</v>
      </c>
      <c r="E28" s="14"/>
      <c r="F28" s="14"/>
      <c r="G28" s="14"/>
      <c r="H28" s="16" t="s">
        <v>62</v>
      </c>
      <c r="I28" s="16" t="s">
        <v>63</v>
      </c>
      <c r="J28" s="14"/>
      <c r="K28" s="14"/>
      <c r="L28" s="14"/>
      <c r="M28" s="16" t="s">
        <v>72</v>
      </c>
      <c r="N28" s="16" t="s">
        <v>21</v>
      </c>
      <c r="O28" s="14"/>
      <c r="P28" s="14"/>
      <c r="Q28" s="14"/>
      <c r="R28" s="16" t="s">
        <v>40</v>
      </c>
      <c r="S28" s="16" t="s">
        <v>41</v>
      </c>
    </row>
    <row r="29" spans="2:20">
      <c r="C29" s="22">
        <v>315.01</v>
      </c>
      <c r="D29" s="22" t="s">
        <v>8</v>
      </c>
      <c r="E29" s="14"/>
      <c r="F29" s="14"/>
      <c r="G29" s="14"/>
      <c r="H29" s="16" t="s">
        <v>77</v>
      </c>
      <c r="I29" s="16" t="s">
        <v>37</v>
      </c>
      <c r="J29" s="14"/>
      <c r="K29" s="14"/>
      <c r="L29" s="14"/>
      <c r="M29" s="16" t="s">
        <v>10</v>
      </c>
      <c r="N29" s="16" t="s">
        <v>87</v>
      </c>
      <c r="O29" s="14"/>
      <c r="P29" s="14"/>
      <c r="Q29" s="14"/>
      <c r="R29" s="16" t="s">
        <v>66</v>
      </c>
      <c r="S29" s="16" t="s">
        <v>89</v>
      </c>
    </row>
    <row r="30" spans="2:20">
      <c r="C30" s="22">
        <v>318.62</v>
      </c>
      <c r="D30" s="22" t="s">
        <v>76</v>
      </c>
      <c r="E30" s="14"/>
      <c r="F30" s="14"/>
      <c r="G30" s="14"/>
      <c r="H30" s="16" t="s">
        <v>70</v>
      </c>
      <c r="I30" s="16" t="s">
        <v>19</v>
      </c>
      <c r="J30" s="14"/>
      <c r="K30" s="14"/>
      <c r="L30" s="14"/>
      <c r="M30" s="16" t="s">
        <v>64</v>
      </c>
      <c r="N30" s="16" t="s">
        <v>65</v>
      </c>
      <c r="O30" s="14"/>
      <c r="P30" s="14"/>
      <c r="Q30" s="14"/>
      <c r="R30" s="16" t="s">
        <v>31</v>
      </c>
      <c r="S30" s="16" t="s">
        <v>75</v>
      </c>
    </row>
    <row r="31" spans="2:20">
      <c r="C31" s="22">
        <v>323.81</v>
      </c>
      <c r="D31" s="22" t="s">
        <v>26</v>
      </c>
      <c r="E31" s="14"/>
      <c r="F31" s="14"/>
      <c r="G31" s="14"/>
      <c r="H31" s="16" t="s">
        <v>44</v>
      </c>
      <c r="I31" s="16" t="s">
        <v>45</v>
      </c>
      <c r="J31" s="14"/>
      <c r="K31" s="14"/>
      <c r="L31" s="14"/>
      <c r="M31" s="16" t="s">
        <v>38</v>
      </c>
      <c r="N31" s="16" t="s">
        <v>30</v>
      </c>
      <c r="O31" s="14"/>
      <c r="P31" s="14"/>
      <c r="Q31" s="14"/>
      <c r="R31" s="16" t="s">
        <v>81</v>
      </c>
      <c r="S31" s="16" t="s">
        <v>23</v>
      </c>
    </row>
    <row r="32" spans="2:20">
      <c r="B32" s="15"/>
      <c r="C32" s="22">
        <v>328.23</v>
      </c>
      <c r="D32" s="22" t="s">
        <v>83</v>
      </c>
      <c r="E32" s="14" t="s">
        <v>122</v>
      </c>
      <c r="F32" s="14"/>
      <c r="G32" s="14"/>
      <c r="H32" s="16" t="s">
        <v>27</v>
      </c>
      <c r="I32" s="16" t="s">
        <v>85</v>
      </c>
      <c r="J32" s="14" t="s">
        <v>122</v>
      </c>
      <c r="K32" s="14"/>
      <c r="L32" s="14"/>
      <c r="M32" s="16" t="s">
        <v>79</v>
      </c>
      <c r="N32" s="16" t="s">
        <v>80</v>
      </c>
      <c r="O32" s="14" t="s">
        <v>122</v>
      </c>
      <c r="P32" s="14"/>
      <c r="Q32" s="14"/>
      <c r="R32" s="16" t="s">
        <v>88</v>
      </c>
      <c r="S32" s="16" t="s">
        <v>49</v>
      </c>
      <c r="T32" t="s">
        <v>122</v>
      </c>
    </row>
    <row r="33" spans="2:19">
      <c r="B33" s="15"/>
      <c r="C33" s="22">
        <v>331.8</v>
      </c>
      <c r="D33" s="22" t="s">
        <v>69</v>
      </c>
      <c r="E33" s="14"/>
      <c r="F33" s="14"/>
      <c r="G33" s="14"/>
      <c r="H33" s="16" t="s">
        <v>18</v>
      </c>
      <c r="I33" s="16" t="s">
        <v>71</v>
      </c>
      <c r="J33" s="14"/>
      <c r="K33" s="14"/>
      <c r="L33" s="14"/>
      <c r="M33" s="16" t="s">
        <v>55</v>
      </c>
      <c r="N33" s="16" t="s">
        <v>39</v>
      </c>
      <c r="O33" s="14"/>
      <c r="P33" s="14"/>
      <c r="Q33" s="14"/>
      <c r="R33" s="16" t="s">
        <v>48</v>
      </c>
      <c r="S33" s="16" t="s">
        <v>58</v>
      </c>
    </row>
    <row r="34" spans="2:19" ht="15" customHeight="1">
      <c r="B34" s="15"/>
      <c r="C34" s="22">
        <v>355.72</v>
      </c>
      <c r="D34" s="22" t="s">
        <v>17</v>
      </c>
      <c r="E34" s="14"/>
      <c r="F34" s="14"/>
      <c r="G34" s="14"/>
      <c r="H34" s="16" t="s">
        <v>53</v>
      </c>
      <c r="I34" s="16" t="s">
        <v>78</v>
      </c>
      <c r="J34" s="14"/>
      <c r="K34" s="14"/>
      <c r="L34" s="14"/>
      <c r="M34" s="16" t="s">
        <v>46</v>
      </c>
      <c r="N34" s="16" t="s">
        <v>47</v>
      </c>
      <c r="O34" s="14"/>
      <c r="P34" s="14"/>
      <c r="Q34" s="14"/>
      <c r="R34" s="16" t="s">
        <v>74</v>
      </c>
      <c r="S34" s="16" t="s">
        <v>32</v>
      </c>
    </row>
    <row r="35" spans="2:19" ht="15.75" customHeight="1">
      <c r="B35" s="15"/>
      <c r="D35" s="14"/>
    </row>
    <row r="36" spans="2:19">
      <c r="B36" s="15"/>
      <c r="D36" s="14"/>
    </row>
    <row r="37" spans="2:19">
      <c r="B37" s="26" t="s">
        <v>123</v>
      </c>
      <c r="C37" s="27">
        <f>(C27+C32)/2</f>
        <v>317.55</v>
      </c>
      <c r="D37" s="28">
        <f>(D27+D32)/2</f>
        <v>71.61</v>
      </c>
      <c r="E37" s="25"/>
      <c r="F37" s="25"/>
      <c r="G37" s="25"/>
      <c r="H37" s="27">
        <f>(H27+H32)/2</f>
        <v>108.97499999999999</v>
      </c>
      <c r="I37" s="27">
        <f>(I27+I32)/2</f>
        <v>334.69150000000002</v>
      </c>
      <c r="J37" s="25"/>
      <c r="K37" s="25"/>
      <c r="L37" s="25"/>
      <c r="M37" s="27">
        <f>(M27+M32)/2</f>
        <v>171.22</v>
      </c>
      <c r="N37" s="27">
        <f>(N27+N32)/2</f>
        <v>66.248000000000005</v>
      </c>
      <c r="O37" s="25"/>
      <c r="P37" s="25"/>
      <c r="Q37" s="25"/>
      <c r="R37" s="27">
        <f>(R27+R32)/2</f>
        <v>127.41</v>
      </c>
      <c r="S37" s="27">
        <f>(S27+S32)/2</f>
        <v>167.2825</v>
      </c>
    </row>
    <row r="38" spans="2:19">
      <c r="B38" s="26" t="s">
        <v>124</v>
      </c>
      <c r="C38" s="29">
        <f>C32-C27</f>
        <v>21.360000000000014</v>
      </c>
      <c r="D38" s="27">
        <f>D32-D27</f>
        <v>13.689999999999998</v>
      </c>
      <c r="E38" s="24"/>
      <c r="F38" s="24"/>
      <c r="G38" s="24"/>
      <c r="H38" s="29">
        <f>H32-H27</f>
        <v>4.1499999999999915</v>
      </c>
      <c r="I38" s="29">
        <f>I32-I27</f>
        <v>28.642999999999972</v>
      </c>
      <c r="J38" s="24"/>
      <c r="K38" s="24"/>
      <c r="L38" s="24"/>
      <c r="M38" s="29">
        <f>M32-M27</f>
        <v>42.660000000000025</v>
      </c>
      <c r="N38" s="29">
        <f>N32-N27</f>
        <v>12.271999999999998</v>
      </c>
      <c r="O38" s="24"/>
      <c r="P38" s="24"/>
      <c r="Q38" s="24"/>
      <c r="R38" s="29">
        <f>R32-R27</f>
        <v>13.40000000000002</v>
      </c>
      <c r="S38" s="29">
        <f>S32-S27</f>
        <v>11.62700000000001</v>
      </c>
    </row>
    <row r="39" spans="2:19">
      <c r="B39" s="26" t="s">
        <v>125</v>
      </c>
      <c r="C39" s="29">
        <f>C37/C38</f>
        <v>14.866573033707857</v>
      </c>
      <c r="D39" s="27">
        <f>D37/D38</f>
        <v>5.23082542001461</v>
      </c>
      <c r="H39" s="29">
        <f>H37/H38</f>
        <v>26.259036144578367</v>
      </c>
      <c r="I39" s="29">
        <f>I37/I38</f>
        <v>11.684931745976341</v>
      </c>
      <c r="M39" s="29">
        <f>M37/M38</f>
        <v>4.0135958743553655</v>
      </c>
      <c r="N39" s="29">
        <f>N37/N38</f>
        <v>5.3983050847457639</v>
      </c>
      <c r="R39" s="29">
        <f>R37/R38</f>
        <v>9.508208955223866</v>
      </c>
      <c r="S39" s="29">
        <f>S37/S38</f>
        <v>14.387417218543034</v>
      </c>
    </row>
    <row r="40" spans="2:19" ht="19.5">
      <c r="B40" s="30" t="s">
        <v>110</v>
      </c>
      <c r="C40" s="20">
        <f>C37-C38*0.523</f>
        <v>306.37871999999999</v>
      </c>
      <c r="D40" s="27">
        <f>D37-D38*0.523</f>
        <v>64.450130000000001</v>
      </c>
      <c r="E40" s="24"/>
      <c r="F40" s="24"/>
      <c r="G40" s="24"/>
      <c r="H40" s="29">
        <f>H37-H38*0.523</f>
        <v>106.80454999999999</v>
      </c>
      <c r="I40" s="29">
        <f>I37-I38*0.523</f>
        <v>319.71121100000005</v>
      </c>
      <c r="J40" s="24"/>
      <c r="K40" s="24"/>
      <c r="L40" s="24"/>
      <c r="M40" s="29">
        <f>M37-M38*0.523</f>
        <v>148.90881999999999</v>
      </c>
      <c r="N40" s="29">
        <f>N37-N38*0.523</f>
        <v>59.829744000000005</v>
      </c>
      <c r="O40" s="24"/>
      <c r="P40" s="24"/>
      <c r="Q40" s="24"/>
      <c r="R40" s="29">
        <f>R37-R38*0.523</f>
        <v>120.40179999999998</v>
      </c>
      <c r="S40" s="29">
        <f>S37-S38*0.523</f>
        <v>161.20157899999998</v>
      </c>
    </row>
    <row r="41" spans="2:19" ht="19.5">
      <c r="B41" s="30" t="s">
        <v>113</v>
      </c>
      <c r="C41" s="29">
        <f>C37+C38*0.523</f>
        <v>328.72128000000004</v>
      </c>
      <c r="D41" s="27">
        <f>D37+D38*0.523</f>
        <v>78.769869999999997</v>
      </c>
      <c r="E41" s="24"/>
      <c r="F41" s="24"/>
      <c r="G41" s="24"/>
      <c r="H41" s="29">
        <f>C37+C38*0.523</f>
        <v>328.72128000000004</v>
      </c>
      <c r="I41" s="29">
        <f>I37+I38*0.523</f>
        <v>349.67178899999999</v>
      </c>
      <c r="J41" s="24"/>
      <c r="K41" s="24"/>
      <c r="L41" s="24"/>
      <c r="M41" s="29">
        <f>M37+M38*0.523</f>
        <v>193.53118000000001</v>
      </c>
      <c r="N41" s="29">
        <f>N37+N38*0.523</f>
        <v>72.666256000000004</v>
      </c>
      <c r="O41" s="24"/>
      <c r="P41" s="24"/>
      <c r="Q41" s="24"/>
      <c r="R41" s="29">
        <f>N37+N38*0.523</f>
        <v>72.666256000000004</v>
      </c>
      <c r="S41" s="29">
        <f>S37+S38*0.523</f>
        <v>173.36342100000002</v>
      </c>
    </row>
    <row r="42" spans="2:19">
      <c r="C42" s="14"/>
      <c r="D42" s="14"/>
    </row>
    <row r="43" spans="2:19">
      <c r="B43" s="14"/>
      <c r="C43" s="14"/>
      <c r="D43" s="14"/>
    </row>
    <row r="45" spans="2:19" ht="15.75">
      <c r="C45" s="6" t="s">
        <v>6</v>
      </c>
      <c r="D45" s="7" t="s">
        <v>7</v>
      </c>
      <c r="E45" s="13">
        <v>1</v>
      </c>
      <c r="F45" s="1">
        <v>2</v>
      </c>
    </row>
    <row r="46" spans="2:19" ht="15.75">
      <c r="C46" s="6" t="s">
        <v>14</v>
      </c>
      <c r="D46" s="85" t="s">
        <v>7</v>
      </c>
      <c r="E46" s="12" t="s">
        <v>15</v>
      </c>
      <c r="F46" s="8" t="s">
        <v>16</v>
      </c>
    </row>
    <row r="47" spans="2:19" ht="15.75">
      <c r="C47" s="6" t="s">
        <v>24</v>
      </c>
      <c r="D47" s="85" t="s">
        <v>7</v>
      </c>
      <c r="E47" s="12" t="s">
        <v>25</v>
      </c>
      <c r="F47" s="8" t="s">
        <v>25</v>
      </c>
    </row>
    <row r="48" spans="2:19" ht="15.75">
      <c r="C48" s="83" t="s">
        <v>33</v>
      </c>
      <c r="D48" s="85" t="s">
        <v>34</v>
      </c>
      <c r="E48" s="16">
        <v>1160</v>
      </c>
      <c r="F48" s="17">
        <v>1660</v>
      </c>
    </row>
    <row r="49" spans="3:12" ht="15.75">
      <c r="C49" s="83"/>
      <c r="D49" s="85" t="s">
        <v>42</v>
      </c>
      <c r="E49" s="16">
        <v>1030</v>
      </c>
      <c r="F49" s="16">
        <v>1190</v>
      </c>
    </row>
    <row r="50" spans="3:12" ht="15.75">
      <c r="C50" s="9" t="s">
        <v>50</v>
      </c>
      <c r="D50" s="10" t="s">
        <v>51</v>
      </c>
      <c r="E50" s="5"/>
      <c r="F50" s="5"/>
    </row>
    <row r="51" spans="3:12" ht="15.75">
      <c r="C51" s="6" t="s">
        <v>59</v>
      </c>
      <c r="D51" s="85" t="s">
        <v>60</v>
      </c>
      <c r="E51" s="18">
        <f>M14/(E48/20)</f>
        <v>2.9520689655172414</v>
      </c>
      <c r="F51" s="19">
        <f>C37/(F48/20)</f>
        <v>3.8259036144578316</v>
      </c>
    </row>
    <row r="52" spans="3:12" ht="15.75">
      <c r="C52" s="6" t="s">
        <v>59</v>
      </c>
      <c r="D52" s="85" t="s">
        <v>68</v>
      </c>
      <c r="E52" s="20">
        <f>R14/(E49/20)</f>
        <v>2.473980582524272</v>
      </c>
      <c r="F52" s="21">
        <f>H14/(F49/20)</f>
        <v>1.8315126050420167</v>
      </c>
    </row>
    <row r="56" spans="3:12" ht="19.5">
      <c r="C56" s="34"/>
      <c r="D56" s="51" t="s">
        <v>109</v>
      </c>
      <c r="E56" s="30" t="s">
        <v>110</v>
      </c>
      <c r="F56" s="53" t="s">
        <v>111</v>
      </c>
      <c r="G56" s="52" t="s">
        <v>112</v>
      </c>
      <c r="H56" s="90" t="s">
        <v>59</v>
      </c>
      <c r="I56" s="91" t="s">
        <v>110</v>
      </c>
      <c r="J56" s="91" t="s">
        <v>113</v>
      </c>
      <c r="K56" s="53" t="s">
        <v>114</v>
      </c>
      <c r="L56" s="53" t="s">
        <v>115</v>
      </c>
    </row>
    <row r="57" spans="3:12" ht="15.75">
      <c r="C57" s="35" t="s">
        <v>116</v>
      </c>
      <c r="D57" s="54">
        <f>(M27+M32)/2</f>
        <v>171.22</v>
      </c>
      <c r="E57" s="55">
        <v>148.90881999999999</v>
      </c>
      <c r="F57" s="55">
        <f>D57-E57</f>
        <v>22.311180000000007</v>
      </c>
      <c r="G57" s="54">
        <f>(N27+N32)/2</f>
        <v>66.248000000000005</v>
      </c>
      <c r="H57" s="92">
        <f>M37/(E48/20)</f>
        <v>2.9520689655172414</v>
      </c>
      <c r="I57" s="93">
        <f>M40/(E48/20)</f>
        <v>2.5673934482758618</v>
      </c>
      <c r="J57" s="93">
        <f>M41/(E48/20)</f>
        <v>3.336744482758621</v>
      </c>
      <c r="K57" s="94">
        <f>H57-I57</f>
        <v>0.38467551724137961</v>
      </c>
      <c r="L57" s="95">
        <f>J57-H57</f>
        <v>0.38467551724137961</v>
      </c>
    </row>
    <row r="58" spans="3:12" ht="15.75">
      <c r="C58" s="35" t="s">
        <v>117</v>
      </c>
      <c r="D58" s="54">
        <f>(R27+R32)/2</f>
        <v>127.41</v>
      </c>
      <c r="E58" s="55">
        <v>120.40179999999998</v>
      </c>
      <c r="F58" s="55">
        <f t="shared" ref="F58:F60" si="0">D58-E58</f>
        <v>7.0082000000000164</v>
      </c>
      <c r="G58" s="54">
        <f>(S27+S32)/2</f>
        <v>167.2825</v>
      </c>
      <c r="H58" s="96">
        <f>R37/(E49/20)</f>
        <v>2.473980582524272</v>
      </c>
      <c r="I58" s="93">
        <f>R40/(E49/20)</f>
        <v>2.3378990291262132</v>
      </c>
      <c r="J58" s="93">
        <f>R41/(E49/20)</f>
        <v>1.4109952621359223</v>
      </c>
      <c r="K58" s="94">
        <v>0.1</v>
      </c>
      <c r="L58" s="94">
        <v>0.2</v>
      </c>
    </row>
    <row r="59" spans="3:12" ht="15.75">
      <c r="C59" s="35" t="s">
        <v>118</v>
      </c>
      <c r="D59" s="54">
        <f>(C27+C32)/2</f>
        <v>317.55</v>
      </c>
      <c r="E59" s="55">
        <v>306.37871999999999</v>
      </c>
      <c r="F59" s="55">
        <f>D59-E59</f>
        <v>11.171280000000024</v>
      </c>
      <c r="G59" s="54">
        <f>(D27+D32)/2</f>
        <v>71.61</v>
      </c>
      <c r="H59" s="97">
        <f>C37/(F48/20)</f>
        <v>3.8259036144578316</v>
      </c>
      <c r="I59" s="93">
        <f>C40/(F48/20)</f>
        <v>3.6913098795180721</v>
      </c>
      <c r="J59" s="93">
        <f>C41/(F48/20)</f>
        <v>3.9604973493975906</v>
      </c>
      <c r="K59" s="94">
        <f>H59-I59</f>
        <v>0.13459373493975946</v>
      </c>
      <c r="L59" s="94">
        <f>J59-H59</f>
        <v>0.13459373493975901</v>
      </c>
    </row>
    <row r="60" spans="3:12" ht="15.75">
      <c r="C60" s="35" t="s">
        <v>119</v>
      </c>
      <c r="D60" s="54">
        <f>(H27+H32)/2</f>
        <v>108.97499999999999</v>
      </c>
      <c r="E60" s="55">
        <v>106.80454999999999</v>
      </c>
      <c r="F60" s="55">
        <f t="shared" si="0"/>
        <v>2.1704500000000024</v>
      </c>
      <c r="G60" s="54">
        <f>(I27+I32)/2</f>
        <v>334.69150000000002</v>
      </c>
      <c r="H60" s="96">
        <f>H37/(F49/20)</f>
        <v>1.8315126050420167</v>
      </c>
      <c r="I60" s="93">
        <v>2</v>
      </c>
      <c r="J60" s="93">
        <v>1.5</v>
      </c>
      <c r="K60" s="94">
        <f>H60-I60</f>
        <v>-0.16848739495798326</v>
      </c>
      <c r="L60" s="94">
        <f>J60-H60</f>
        <v>-0.33151260504201674</v>
      </c>
    </row>
    <row r="64" spans="3:12" ht="19.5">
      <c r="C64" s="93"/>
      <c r="D64" s="98" t="s">
        <v>112</v>
      </c>
      <c r="E64" s="91" t="s">
        <v>110</v>
      </c>
      <c r="F64" s="91" t="s">
        <v>113</v>
      </c>
      <c r="G64" s="53" t="s">
        <v>114</v>
      </c>
      <c r="H64" s="53" t="s">
        <v>115</v>
      </c>
    </row>
    <row r="65" spans="3:8" ht="15.75">
      <c r="C65" s="98" t="s">
        <v>116</v>
      </c>
      <c r="D65" s="93">
        <v>66.2</v>
      </c>
      <c r="E65" s="93">
        <v>59.8</v>
      </c>
      <c r="F65" s="93">
        <v>72.7</v>
      </c>
      <c r="G65" s="93">
        <f>F65-D65</f>
        <v>6.5</v>
      </c>
      <c r="H65" s="93">
        <f>D65-E65</f>
        <v>6.4000000000000057</v>
      </c>
    </row>
    <row r="66" spans="3:8" ht="15.75">
      <c r="C66" s="98" t="s">
        <v>117</v>
      </c>
      <c r="D66" s="93">
        <v>167.3</v>
      </c>
      <c r="E66" s="93">
        <v>161.19999999999999</v>
      </c>
      <c r="F66" s="93">
        <v>173.4</v>
      </c>
      <c r="G66" s="93">
        <f t="shared" ref="G66:G68" si="1">F66-D66</f>
        <v>6.0999999999999943</v>
      </c>
      <c r="H66" s="93">
        <f t="shared" ref="H66:H68" si="2">D66-E66</f>
        <v>6.1000000000000227</v>
      </c>
    </row>
    <row r="67" spans="3:8" ht="15.75">
      <c r="C67" s="98" t="s">
        <v>118</v>
      </c>
      <c r="D67" s="93">
        <v>71.599999999999994</v>
      </c>
      <c r="E67" s="99">
        <v>64.5</v>
      </c>
      <c r="F67" s="93">
        <v>78.8</v>
      </c>
      <c r="G67" s="93">
        <f>F67-D67</f>
        <v>7.2000000000000028</v>
      </c>
      <c r="H67" s="93">
        <f t="shared" si="2"/>
        <v>7.0999999999999943</v>
      </c>
    </row>
    <row r="68" spans="3:8" ht="15.75">
      <c r="C68" s="98" t="s">
        <v>119</v>
      </c>
      <c r="D68" s="93">
        <v>334.7</v>
      </c>
      <c r="E68" s="93">
        <v>319.7</v>
      </c>
      <c r="F68" s="93">
        <v>349.7</v>
      </c>
      <c r="G68" s="93">
        <f t="shared" si="1"/>
        <v>15</v>
      </c>
      <c r="H68" s="93">
        <f t="shared" si="2"/>
        <v>15</v>
      </c>
    </row>
    <row r="72" spans="3:8" ht="15.75">
      <c r="C72" s="34"/>
      <c r="D72" s="6" t="s">
        <v>109</v>
      </c>
      <c r="E72" s="1" t="s">
        <v>59</v>
      </c>
      <c r="F72" s="59" t="s">
        <v>121</v>
      </c>
    </row>
    <row r="73" spans="3:8" ht="15.75">
      <c r="C73" s="35" t="s">
        <v>116</v>
      </c>
      <c r="D73" s="60">
        <f>(M34+M39)/2</f>
        <v>112.67179793717769</v>
      </c>
      <c r="E73" s="56">
        <v>3</v>
      </c>
      <c r="F73" s="60">
        <v>66.2</v>
      </c>
    </row>
    <row r="74" spans="3:8" ht="15.75">
      <c r="C74" s="35" t="s">
        <v>117</v>
      </c>
      <c r="D74" s="60">
        <f>(R34+R39)/2</f>
        <v>72.514104477611937</v>
      </c>
      <c r="E74" s="57">
        <v>2.5</v>
      </c>
      <c r="F74" s="60">
        <v>167.3</v>
      </c>
    </row>
    <row r="75" spans="3:8" ht="15.75">
      <c r="C75" s="35" t="s">
        <v>118</v>
      </c>
      <c r="D75" s="60">
        <f>(C34+C39)/2</f>
        <v>185.29328651685395</v>
      </c>
      <c r="E75" s="58">
        <v>3.8</v>
      </c>
      <c r="F75" s="60">
        <v>71.599999999999994</v>
      </c>
    </row>
    <row r="76" spans="3:8" ht="15.75">
      <c r="C76" s="35" t="s">
        <v>119</v>
      </c>
      <c r="D76" s="60">
        <f>(H34+H39)/2</f>
        <v>59.32951807228919</v>
      </c>
      <c r="E76" s="57">
        <v>1.8</v>
      </c>
      <c r="F76" s="60">
        <v>334.7</v>
      </c>
    </row>
  </sheetData>
  <sortState ref="S25:S34">
    <sortCondition ref="S25:S34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R21"/>
  <sheetViews>
    <sheetView topLeftCell="A4" workbookViewId="0">
      <selection activeCell="D14" sqref="D14:I15"/>
    </sheetView>
  </sheetViews>
  <sheetFormatPr defaultColWidth="8.85546875" defaultRowHeight="15"/>
  <cols>
    <col min="4" max="4" width="9.42578125" customWidth="1"/>
  </cols>
  <sheetData>
    <row r="5" spans="3:18" ht="15" customHeight="1">
      <c r="C5" s="153" t="s">
        <v>15</v>
      </c>
      <c r="D5" s="156" t="s">
        <v>33</v>
      </c>
      <c r="E5" s="157"/>
      <c r="F5" s="157"/>
      <c r="G5" s="157"/>
      <c r="H5" s="157"/>
      <c r="I5" s="157"/>
      <c r="N5" s="93" t="s">
        <v>131</v>
      </c>
      <c r="O5" s="93" t="s">
        <v>132</v>
      </c>
      <c r="P5" s="100"/>
      <c r="Q5" s="93" t="s">
        <v>131</v>
      </c>
      <c r="R5" s="93" t="s">
        <v>132</v>
      </c>
    </row>
    <row r="6" spans="3:18" ht="15" customHeight="1">
      <c r="C6" s="153"/>
      <c r="D6" s="156"/>
      <c r="E6" s="157"/>
      <c r="F6" s="157"/>
      <c r="G6" s="157"/>
      <c r="H6" s="157"/>
      <c r="I6" s="157"/>
      <c r="N6" s="93">
        <v>950</v>
      </c>
      <c r="O6" s="93">
        <v>1000</v>
      </c>
      <c r="P6" s="100"/>
      <c r="Q6" s="93">
        <v>1600</v>
      </c>
      <c r="R6" s="93">
        <v>1050</v>
      </c>
    </row>
    <row r="7" spans="3:18">
      <c r="C7" s="153"/>
      <c r="D7" s="158" t="s">
        <v>34</v>
      </c>
      <c r="E7" s="159"/>
      <c r="F7" s="159"/>
      <c r="G7" s="159" t="s">
        <v>42</v>
      </c>
      <c r="H7" s="159"/>
      <c r="I7" s="159"/>
      <c r="N7" s="93">
        <v>1000</v>
      </c>
      <c r="O7" s="93">
        <v>1000</v>
      </c>
      <c r="P7" s="101" t="s">
        <v>120</v>
      </c>
      <c r="Q7" s="93">
        <v>1600</v>
      </c>
      <c r="R7" s="93">
        <v>1150</v>
      </c>
    </row>
    <row r="8" spans="3:18">
      <c r="C8" s="50" t="s">
        <v>123</v>
      </c>
      <c r="D8" s="155">
        <f>(N7+N9)/2</f>
        <v>1150</v>
      </c>
      <c r="E8" s="155"/>
      <c r="F8" s="155"/>
      <c r="G8" s="155">
        <f>(O7+O9)/2</f>
        <v>1025</v>
      </c>
      <c r="H8" s="155"/>
      <c r="I8" s="155"/>
      <c r="N8" s="93">
        <v>1250</v>
      </c>
      <c r="O8" s="93">
        <v>1000</v>
      </c>
      <c r="P8" s="101"/>
      <c r="Q8" s="93">
        <v>1600</v>
      </c>
      <c r="R8" s="93">
        <v>1200</v>
      </c>
    </row>
    <row r="9" spans="3:18">
      <c r="C9" s="45" t="s">
        <v>124</v>
      </c>
      <c r="D9" s="155">
        <f>N9-N7</f>
        <v>300</v>
      </c>
      <c r="E9" s="155"/>
      <c r="F9" s="155"/>
      <c r="G9" s="155">
        <f>O9-O7</f>
        <v>50</v>
      </c>
      <c r="H9" s="155"/>
      <c r="I9" s="155"/>
      <c r="N9" s="93">
        <v>1300</v>
      </c>
      <c r="O9" s="93">
        <v>1050</v>
      </c>
      <c r="P9" s="101" t="s">
        <v>122</v>
      </c>
      <c r="Q9" s="93">
        <v>1700</v>
      </c>
      <c r="R9" s="93">
        <v>1250</v>
      </c>
    </row>
    <row r="10" spans="3:18">
      <c r="C10" s="45" t="s">
        <v>125</v>
      </c>
      <c r="D10" s="155">
        <f>D8/D9</f>
        <v>3.8333333333333335</v>
      </c>
      <c r="E10" s="155"/>
      <c r="F10" s="155"/>
      <c r="G10" s="155">
        <f>G8/G9</f>
        <v>20.5</v>
      </c>
      <c r="H10" s="155"/>
      <c r="I10" s="155"/>
      <c r="N10" s="93">
        <v>1300</v>
      </c>
      <c r="O10" s="93">
        <v>1100</v>
      </c>
      <c r="P10" s="100"/>
      <c r="Q10" s="93">
        <v>1800</v>
      </c>
      <c r="R10" s="93">
        <v>1300</v>
      </c>
    </row>
    <row r="11" spans="3:18" ht="19.5">
      <c r="C11" s="46" t="s">
        <v>110</v>
      </c>
      <c r="D11" s="155">
        <f>D8-D9*0.523</f>
        <v>993.1</v>
      </c>
      <c r="E11" s="155"/>
      <c r="F11" s="155"/>
      <c r="G11" s="155">
        <f>G8-G9*0.523</f>
        <v>998.85</v>
      </c>
      <c r="H11" s="155"/>
      <c r="I11" s="155"/>
    </row>
    <row r="12" spans="3:18" ht="19.5">
      <c r="C12" s="46" t="s">
        <v>113</v>
      </c>
      <c r="D12" s="155">
        <f>D8+D9*0.523</f>
        <v>1306.9000000000001</v>
      </c>
      <c r="E12" s="155"/>
      <c r="F12" s="155"/>
      <c r="G12" s="155">
        <f>G8+G9*0.523</f>
        <v>1051.1500000000001</v>
      </c>
      <c r="H12" s="155"/>
      <c r="I12" s="155"/>
    </row>
    <row r="14" spans="3:18">
      <c r="C14" s="154" t="s">
        <v>16</v>
      </c>
      <c r="D14" s="156" t="s">
        <v>33</v>
      </c>
      <c r="E14" s="157"/>
      <c r="F14" s="157"/>
      <c r="G14" s="157"/>
      <c r="H14" s="157"/>
      <c r="I14" s="157"/>
    </row>
    <row r="15" spans="3:18">
      <c r="C15" s="154"/>
      <c r="D15" s="156"/>
      <c r="E15" s="157"/>
      <c r="F15" s="157"/>
      <c r="G15" s="157"/>
      <c r="H15" s="157"/>
      <c r="I15" s="157"/>
    </row>
    <row r="16" spans="3:18">
      <c r="C16" s="154"/>
      <c r="D16" s="158" t="s">
        <v>34</v>
      </c>
      <c r="E16" s="159"/>
      <c r="F16" s="159"/>
      <c r="G16" s="159" t="s">
        <v>42</v>
      </c>
      <c r="H16" s="159"/>
      <c r="I16" s="159"/>
    </row>
    <row r="17" spans="3:9">
      <c r="C17" s="50" t="s">
        <v>123</v>
      </c>
      <c r="D17" s="160">
        <f>(Q7+Q9)/2</f>
        <v>1650</v>
      </c>
      <c r="E17" s="160"/>
      <c r="F17" s="160"/>
      <c r="G17" s="160">
        <f>(R7+R9)/2</f>
        <v>1200</v>
      </c>
      <c r="H17" s="160"/>
      <c r="I17" s="160"/>
    </row>
    <row r="18" spans="3:9">
      <c r="C18" s="45" t="s">
        <v>124</v>
      </c>
      <c r="D18" s="161">
        <f>Q9-Q7</f>
        <v>100</v>
      </c>
      <c r="E18" s="161"/>
      <c r="F18" s="161"/>
      <c r="G18" s="160">
        <f>R9-R7</f>
        <v>100</v>
      </c>
      <c r="H18" s="160"/>
      <c r="I18" s="160"/>
    </row>
    <row r="19" spans="3:9">
      <c r="C19" s="45" t="s">
        <v>125</v>
      </c>
      <c r="D19" s="160">
        <f>D17/D18</f>
        <v>16.5</v>
      </c>
      <c r="E19" s="160"/>
      <c r="F19" s="160"/>
      <c r="G19" s="160">
        <f>G17/G18</f>
        <v>12</v>
      </c>
      <c r="H19" s="160"/>
      <c r="I19" s="160"/>
    </row>
    <row r="20" spans="3:9" ht="19.5">
      <c r="C20" s="46" t="s">
        <v>110</v>
      </c>
      <c r="D20" s="160">
        <f>D17-D18*0.523</f>
        <v>1597.7</v>
      </c>
      <c r="E20" s="160"/>
      <c r="F20" s="160"/>
      <c r="G20" s="160">
        <f>G17-G18*0.523</f>
        <v>1147.7</v>
      </c>
      <c r="H20" s="160"/>
      <c r="I20" s="160"/>
    </row>
    <row r="21" spans="3:9" ht="19.5">
      <c r="C21" s="46" t="s">
        <v>113</v>
      </c>
      <c r="D21" s="160">
        <f>D17+D18*0.523</f>
        <v>1702.3</v>
      </c>
      <c r="E21" s="160"/>
      <c r="F21" s="160"/>
      <c r="G21" s="160">
        <f>G17+G18*0.523</f>
        <v>1252.3</v>
      </c>
      <c r="H21" s="160"/>
      <c r="I21" s="160"/>
    </row>
  </sheetData>
  <sortState ref="R6:R10">
    <sortCondition ref="R6:R10"/>
  </sortState>
  <mergeCells count="28">
    <mergeCell ref="D16:F16"/>
    <mergeCell ref="G16:I16"/>
    <mergeCell ref="D20:F20"/>
    <mergeCell ref="G20:I20"/>
    <mergeCell ref="D21:F21"/>
    <mergeCell ref="G21:I21"/>
    <mergeCell ref="D17:F17"/>
    <mergeCell ref="G17:I17"/>
    <mergeCell ref="G18:I18"/>
    <mergeCell ref="D18:F18"/>
    <mergeCell ref="D19:F19"/>
    <mergeCell ref="G19:I19"/>
    <mergeCell ref="C5:C7"/>
    <mergeCell ref="C14:C16"/>
    <mergeCell ref="D8:F8"/>
    <mergeCell ref="D9:F9"/>
    <mergeCell ref="D10:F10"/>
    <mergeCell ref="D11:F11"/>
    <mergeCell ref="D5:I6"/>
    <mergeCell ref="D7:F7"/>
    <mergeCell ref="G7:I7"/>
    <mergeCell ref="D12:F12"/>
    <mergeCell ref="G8:I8"/>
    <mergeCell ref="G9:I9"/>
    <mergeCell ref="G10:I10"/>
    <mergeCell ref="G11:I11"/>
    <mergeCell ref="G12:I12"/>
    <mergeCell ref="D14:I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26"/>
  <sheetViews>
    <sheetView zoomScale="85" zoomScaleNormal="85" workbookViewId="0">
      <selection activeCell="Q8" sqref="Q8"/>
    </sheetView>
  </sheetViews>
  <sheetFormatPr defaultColWidth="8.85546875" defaultRowHeight="15"/>
  <cols>
    <col min="4" max="4" width="13.28515625" customWidth="1"/>
    <col min="5" max="5" width="13" customWidth="1"/>
    <col min="6" max="6" width="17.7109375" customWidth="1"/>
    <col min="10" max="10" width="11.85546875" customWidth="1"/>
    <col min="16" max="16" width="9.140625" customWidth="1"/>
    <col min="17" max="17" width="13.7109375" customWidth="1"/>
    <col min="18" max="18" width="13.5703125" customWidth="1"/>
  </cols>
  <sheetData>
    <row r="4" spans="2:18" ht="30">
      <c r="B4" s="88" t="s">
        <v>136</v>
      </c>
      <c r="C4" s="145" t="s">
        <v>109</v>
      </c>
      <c r="D4" s="145" t="s">
        <v>137</v>
      </c>
      <c r="E4" s="88" t="s">
        <v>136</v>
      </c>
      <c r="F4" s="145" t="s">
        <v>109</v>
      </c>
      <c r="G4" s="145" t="s">
        <v>137</v>
      </c>
    </row>
    <row r="5" spans="2:18">
      <c r="B5" s="162" t="s">
        <v>138</v>
      </c>
      <c r="C5" s="96">
        <v>168.06</v>
      </c>
      <c r="D5" s="146">
        <v>57.4</v>
      </c>
      <c r="E5" s="162" t="s">
        <v>141</v>
      </c>
      <c r="F5" s="55">
        <v>323.81</v>
      </c>
      <c r="G5" s="146">
        <v>72.3</v>
      </c>
    </row>
    <row r="6" spans="2:18" ht="21" customHeight="1">
      <c r="B6" s="162"/>
      <c r="C6" s="147">
        <v>149.88999999999999</v>
      </c>
      <c r="D6" s="146">
        <v>61.1</v>
      </c>
      <c r="E6" s="162"/>
      <c r="F6" s="55">
        <v>355.72</v>
      </c>
      <c r="G6" s="146">
        <v>79.8</v>
      </c>
    </row>
    <row r="7" spans="2:18">
      <c r="B7" s="162"/>
      <c r="C7" s="147">
        <v>143.66999999999999</v>
      </c>
      <c r="D7" s="146">
        <v>65.8</v>
      </c>
      <c r="E7" s="162"/>
      <c r="F7" s="55">
        <v>306.87</v>
      </c>
      <c r="G7" s="146">
        <v>76.2</v>
      </c>
    </row>
    <row r="8" spans="2:18">
      <c r="B8" s="162"/>
      <c r="C8" s="147">
        <v>176.7</v>
      </c>
      <c r="D8" s="146">
        <v>73.900000000000006</v>
      </c>
      <c r="E8" s="162"/>
      <c r="F8" s="55">
        <v>315.01</v>
      </c>
      <c r="G8" s="146">
        <v>68.099999999999994</v>
      </c>
    </row>
    <row r="9" spans="2:18">
      <c r="B9" s="162"/>
      <c r="C9" s="147">
        <v>221.33</v>
      </c>
      <c r="D9" s="146">
        <v>80.099999999999994</v>
      </c>
      <c r="E9" s="162"/>
      <c r="F9" s="55">
        <v>246.37</v>
      </c>
      <c r="G9" s="146">
        <v>63.9</v>
      </c>
    </row>
    <row r="10" spans="2:18">
      <c r="B10" s="162"/>
      <c r="C10" s="147">
        <v>194.94</v>
      </c>
      <c r="D10" s="146">
        <v>60.1</v>
      </c>
      <c r="E10" s="162"/>
      <c r="F10" s="55">
        <v>297.66000000000003</v>
      </c>
      <c r="G10" s="146">
        <v>54.8</v>
      </c>
    </row>
    <row r="11" spans="2:18" ht="15.75">
      <c r="B11" s="162"/>
      <c r="C11" s="147">
        <v>171.5</v>
      </c>
      <c r="D11" s="146">
        <v>63.9</v>
      </c>
      <c r="E11" s="162"/>
      <c r="F11" s="55">
        <v>328.23</v>
      </c>
      <c r="G11" s="146">
        <v>64.8</v>
      </c>
      <c r="J11" s="6" t="s">
        <v>6</v>
      </c>
      <c r="K11" s="7" t="s">
        <v>7</v>
      </c>
      <c r="L11" s="1">
        <v>1</v>
      </c>
      <c r="M11" s="1">
        <v>2</v>
      </c>
      <c r="P11" s="166"/>
      <c r="Q11" s="164" t="s">
        <v>109</v>
      </c>
      <c r="R11" s="164" t="s">
        <v>121</v>
      </c>
    </row>
    <row r="12" spans="2:18" ht="15.75">
      <c r="B12" s="162"/>
      <c r="C12" s="147">
        <v>165.91</v>
      </c>
      <c r="D12" s="146">
        <v>56.8</v>
      </c>
      <c r="E12" s="162"/>
      <c r="F12" s="55">
        <v>318.62</v>
      </c>
      <c r="G12" s="146">
        <v>78.5</v>
      </c>
      <c r="J12" s="6" t="s">
        <v>14</v>
      </c>
      <c r="K12" s="7" t="s">
        <v>7</v>
      </c>
      <c r="L12" s="8" t="s">
        <v>15</v>
      </c>
      <c r="M12" s="8" t="s">
        <v>16</v>
      </c>
      <c r="P12" s="166"/>
      <c r="Q12" s="165"/>
      <c r="R12" s="165"/>
    </row>
    <row r="13" spans="2:18" ht="31.5">
      <c r="B13" s="162"/>
      <c r="C13" s="147">
        <v>192.55</v>
      </c>
      <c r="D13" s="146">
        <v>72.400000000000006</v>
      </c>
      <c r="E13" s="162"/>
      <c r="F13" s="55">
        <v>331.8</v>
      </c>
      <c r="G13" s="146">
        <v>75.099999999999994</v>
      </c>
      <c r="J13" s="6" t="s">
        <v>24</v>
      </c>
      <c r="K13" s="7" t="s">
        <v>7</v>
      </c>
      <c r="L13" s="8" t="s">
        <v>25</v>
      </c>
      <c r="M13" s="8" t="s">
        <v>25</v>
      </c>
      <c r="P13" s="134" t="s">
        <v>116</v>
      </c>
      <c r="Q13" s="135">
        <v>172</v>
      </c>
      <c r="R13" s="135">
        <v>65.3</v>
      </c>
    </row>
    <row r="14" spans="2:18" ht="31.5">
      <c r="B14" s="162"/>
      <c r="C14" s="147">
        <v>134.97</v>
      </c>
      <c r="D14" s="146">
        <v>61.3</v>
      </c>
      <c r="E14" s="162"/>
      <c r="F14" s="55">
        <v>314.27999999999997</v>
      </c>
      <c r="G14" s="146">
        <v>78.400000000000006</v>
      </c>
      <c r="J14" s="157" t="s">
        <v>33</v>
      </c>
      <c r="K14" s="7" t="s">
        <v>34</v>
      </c>
      <c r="L14" s="16">
        <v>1160</v>
      </c>
      <c r="M14" s="16">
        <v>1660</v>
      </c>
      <c r="P14" s="134" t="s">
        <v>117</v>
      </c>
      <c r="Q14" s="135">
        <v>125.9</v>
      </c>
      <c r="R14" s="135">
        <v>166.6</v>
      </c>
    </row>
    <row r="15" spans="2:18" ht="31.5">
      <c r="B15" s="114" t="s">
        <v>264</v>
      </c>
      <c r="C15" s="148">
        <f>AVERAGE(C5:C14)</f>
        <v>171.952</v>
      </c>
      <c r="D15" s="148">
        <f>AVERAGE(D5:D14)</f>
        <v>65.28</v>
      </c>
      <c r="E15" s="113"/>
      <c r="F15" s="148">
        <f>AVERAGE(F5:F14)</f>
        <v>313.83699999999999</v>
      </c>
      <c r="G15" s="148">
        <f>AVERAGE(G5:G14)</f>
        <v>71.19</v>
      </c>
      <c r="J15" s="157"/>
      <c r="K15" s="7" t="s">
        <v>42</v>
      </c>
      <c r="L15" s="16">
        <v>1030</v>
      </c>
      <c r="M15" s="16">
        <v>1190</v>
      </c>
      <c r="P15" s="134" t="s">
        <v>118</v>
      </c>
      <c r="Q15" s="136">
        <v>313.8</v>
      </c>
      <c r="R15" s="136">
        <v>71.2</v>
      </c>
    </row>
    <row r="16" spans="2:18" ht="31.5">
      <c r="B16" s="162" t="s">
        <v>140</v>
      </c>
      <c r="C16" s="149">
        <v>118.68</v>
      </c>
      <c r="D16" s="150">
        <v>161.5</v>
      </c>
      <c r="E16" s="163" t="s">
        <v>142</v>
      </c>
      <c r="F16" s="151">
        <v>103.44</v>
      </c>
      <c r="G16" s="150">
        <v>263.3</v>
      </c>
      <c r="J16" s="6" t="s">
        <v>50</v>
      </c>
      <c r="K16" s="7" t="s">
        <v>51</v>
      </c>
      <c r="L16" s="2">
        <v>167.5</v>
      </c>
      <c r="M16" s="62" t="s">
        <v>139</v>
      </c>
      <c r="P16" s="134" t="s">
        <v>119</v>
      </c>
      <c r="Q16" s="136">
        <v>106.6</v>
      </c>
      <c r="R16" s="136">
        <v>328.1</v>
      </c>
    </row>
    <row r="17" spans="2:7">
      <c r="B17" s="162"/>
      <c r="C17" s="149">
        <v>110.82</v>
      </c>
      <c r="D17" s="150">
        <v>171.6</v>
      </c>
      <c r="E17" s="163"/>
      <c r="F17" s="149">
        <v>117.78</v>
      </c>
      <c r="G17" s="150">
        <v>336.9</v>
      </c>
    </row>
    <row r="18" spans="2:7">
      <c r="B18" s="162"/>
      <c r="C18" s="149">
        <v>126.74</v>
      </c>
      <c r="D18" s="150">
        <v>182.3</v>
      </c>
      <c r="E18" s="163"/>
      <c r="F18" s="149">
        <v>111.05</v>
      </c>
      <c r="G18" s="150">
        <v>269.89999999999998</v>
      </c>
    </row>
    <row r="19" spans="2:7">
      <c r="B19" s="162"/>
      <c r="C19" s="149">
        <v>121.46</v>
      </c>
      <c r="D19" s="150">
        <v>166.6</v>
      </c>
      <c r="E19" s="163"/>
      <c r="F19" s="149">
        <v>106.9</v>
      </c>
      <c r="G19" s="150">
        <v>335.9</v>
      </c>
    </row>
    <row r="20" spans="2:7">
      <c r="B20" s="162"/>
      <c r="C20" s="149">
        <v>135.46</v>
      </c>
      <c r="D20" s="150">
        <v>173.1</v>
      </c>
      <c r="E20" s="163"/>
      <c r="F20" s="149">
        <v>108.57</v>
      </c>
      <c r="G20" s="150">
        <v>339.6</v>
      </c>
    </row>
    <row r="21" spans="2:7">
      <c r="B21" s="162"/>
      <c r="C21" s="149">
        <v>120.71</v>
      </c>
      <c r="D21" s="150">
        <v>175.4</v>
      </c>
      <c r="E21" s="163"/>
      <c r="F21" s="149">
        <v>92.4</v>
      </c>
      <c r="G21" s="150">
        <v>320.39999999999998</v>
      </c>
    </row>
    <row r="22" spans="2:7">
      <c r="B22" s="162"/>
      <c r="C22" s="149">
        <v>125.8</v>
      </c>
      <c r="D22" s="150">
        <v>150.5</v>
      </c>
      <c r="E22" s="163"/>
      <c r="F22" s="149">
        <v>106.96</v>
      </c>
      <c r="G22" s="150">
        <v>331.9</v>
      </c>
    </row>
    <row r="23" spans="2:7">
      <c r="B23" s="162"/>
      <c r="C23" s="149">
        <v>135.52000000000001</v>
      </c>
      <c r="D23" s="150">
        <v>170.9</v>
      </c>
      <c r="E23" s="163"/>
      <c r="F23" s="149">
        <v>108.42</v>
      </c>
      <c r="G23" s="150">
        <v>361.9</v>
      </c>
    </row>
    <row r="24" spans="2:7">
      <c r="B24" s="162"/>
      <c r="C24" s="149">
        <v>129.91</v>
      </c>
      <c r="D24" s="150">
        <v>146.1</v>
      </c>
      <c r="E24" s="163"/>
      <c r="F24" s="149">
        <v>107.32</v>
      </c>
      <c r="G24" s="150">
        <v>371.7</v>
      </c>
    </row>
    <row r="25" spans="2:7">
      <c r="B25" s="162"/>
      <c r="C25" s="149">
        <v>134.11000000000001</v>
      </c>
      <c r="D25" s="150">
        <v>167.5</v>
      </c>
      <c r="E25" s="163"/>
      <c r="F25" s="149">
        <v>102.96</v>
      </c>
      <c r="G25" s="150">
        <v>349</v>
      </c>
    </row>
    <row r="26" spans="2:7">
      <c r="B26" s="114" t="s">
        <v>264</v>
      </c>
      <c r="C26" s="148">
        <f>AVERAGE(C16:C25)</f>
        <v>125.92100000000001</v>
      </c>
      <c r="D26" s="148">
        <f>AVERAGE(D16:D25)</f>
        <v>166.55</v>
      </c>
      <c r="E26" s="113"/>
      <c r="F26" s="148">
        <f>AVERAGE(F16:F25)</f>
        <v>106.58</v>
      </c>
      <c r="G26" s="148">
        <f>AVERAGE(G16:G25)</f>
        <v>328.05</v>
      </c>
    </row>
  </sheetData>
  <mergeCells count="8">
    <mergeCell ref="B16:B25"/>
    <mergeCell ref="E16:E25"/>
    <mergeCell ref="Q11:Q12"/>
    <mergeCell ref="R11:R12"/>
    <mergeCell ref="B5:B14"/>
    <mergeCell ref="E5:E14"/>
    <mergeCell ref="P11:P12"/>
    <mergeCell ref="J14:J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6"/>
  <sheetViews>
    <sheetView topLeftCell="A22" workbookViewId="0">
      <selection activeCell="L42" sqref="L42"/>
    </sheetView>
  </sheetViews>
  <sheetFormatPr defaultColWidth="8.85546875" defaultRowHeight="15"/>
  <cols>
    <col min="1" max="1" width="11" style="38" customWidth="1"/>
    <col min="9" max="10" width="9.42578125" customWidth="1"/>
    <col min="11" max="11" width="10.28515625" customWidth="1"/>
  </cols>
  <sheetData>
    <row r="2" spans="1:15" ht="15.75">
      <c r="B2" s="41" t="s">
        <v>143</v>
      </c>
      <c r="C2" s="41"/>
      <c r="D2" s="41"/>
      <c r="O2" s="49"/>
    </row>
    <row r="3" spans="1:15" ht="15.75">
      <c r="B3" s="40"/>
      <c r="C3" s="40"/>
      <c r="D3" s="40"/>
    </row>
    <row r="4" spans="1:15">
      <c r="B4" s="39" t="s">
        <v>144</v>
      </c>
      <c r="C4" s="39" t="s">
        <v>145</v>
      </c>
      <c r="D4" s="39" t="s">
        <v>146</v>
      </c>
      <c r="E4" s="39" t="s">
        <v>147</v>
      </c>
      <c r="F4" s="39" t="s">
        <v>148</v>
      </c>
      <c r="G4" s="39" t="s">
        <v>149</v>
      </c>
      <c r="H4" s="39" t="s">
        <v>150</v>
      </c>
      <c r="I4" s="39" t="s">
        <v>151</v>
      </c>
      <c r="J4" s="39" t="s">
        <v>152</v>
      </c>
      <c r="K4" s="39" t="s">
        <v>153</v>
      </c>
    </row>
    <row r="5" spans="1:15">
      <c r="A5" s="42" t="s">
        <v>117</v>
      </c>
      <c r="B5" s="38">
        <v>73.53</v>
      </c>
      <c r="C5" s="38">
        <v>67.84</v>
      </c>
      <c r="D5" s="38">
        <v>81.59</v>
      </c>
      <c r="E5" s="38">
        <v>78.05</v>
      </c>
      <c r="F5" s="38">
        <v>71.81</v>
      </c>
      <c r="G5" s="38">
        <v>71.89</v>
      </c>
      <c r="H5" s="38">
        <v>79.11</v>
      </c>
      <c r="I5" s="38">
        <v>67.930000000000007</v>
      </c>
      <c r="J5" s="38">
        <v>68.87</v>
      </c>
      <c r="K5" s="38">
        <v>59.9</v>
      </c>
    </row>
    <row r="6" spans="1:15">
      <c r="A6" s="42" t="s">
        <v>116</v>
      </c>
      <c r="B6" s="38">
        <v>27.3</v>
      </c>
      <c r="C6" s="38">
        <v>33.86</v>
      </c>
      <c r="D6" s="38">
        <v>34.69</v>
      </c>
      <c r="E6" s="38">
        <v>32.71</v>
      </c>
      <c r="F6" s="38">
        <v>35.83</v>
      </c>
      <c r="G6" s="38">
        <v>26.16</v>
      </c>
      <c r="H6" s="38">
        <v>31.46</v>
      </c>
      <c r="I6" s="38">
        <v>28.11</v>
      </c>
      <c r="J6" s="38">
        <v>36</v>
      </c>
      <c r="K6" s="38">
        <v>36.64</v>
      </c>
    </row>
    <row r="7" spans="1:15">
      <c r="A7" s="43" t="s">
        <v>119</v>
      </c>
      <c r="B7" s="38">
        <v>138.01</v>
      </c>
      <c r="C7" s="38">
        <v>189.74</v>
      </c>
      <c r="D7" s="38">
        <v>184.89</v>
      </c>
      <c r="E7" s="38">
        <v>135.62</v>
      </c>
      <c r="F7" s="38">
        <v>185.46</v>
      </c>
      <c r="G7" s="38">
        <v>180.11</v>
      </c>
      <c r="H7" s="38">
        <v>185.13</v>
      </c>
      <c r="I7" s="38">
        <v>192.83</v>
      </c>
      <c r="J7" s="38">
        <v>208.19</v>
      </c>
      <c r="K7" s="38">
        <v>223.17</v>
      </c>
    </row>
    <row r="8" spans="1:15">
      <c r="A8" s="43" t="s">
        <v>118</v>
      </c>
      <c r="B8" s="38">
        <v>37.619999999999997</v>
      </c>
      <c r="C8" s="38">
        <v>35.33</v>
      </c>
      <c r="D8" s="38">
        <v>36.979999999999997</v>
      </c>
      <c r="E8" s="38">
        <v>32.61</v>
      </c>
      <c r="F8" s="38">
        <v>34.9</v>
      </c>
      <c r="G8" s="38">
        <v>27.1</v>
      </c>
      <c r="H8" s="38">
        <v>30.75</v>
      </c>
      <c r="I8" s="38">
        <v>38.14</v>
      </c>
      <c r="J8" s="38">
        <v>36.950000000000003</v>
      </c>
      <c r="K8" s="38">
        <v>37.86</v>
      </c>
    </row>
    <row r="9" spans="1:15">
      <c r="B9" s="38"/>
      <c r="C9" s="38"/>
      <c r="D9" s="38"/>
      <c r="E9" s="38"/>
      <c r="F9" s="38"/>
      <c r="G9" s="38"/>
      <c r="H9" s="38"/>
      <c r="I9" s="38"/>
      <c r="J9" s="38"/>
      <c r="K9" s="38"/>
    </row>
    <row r="13" spans="1:15" ht="18.75">
      <c r="E13" s="44" t="s">
        <v>154</v>
      </c>
      <c r="F13" s="44"/>
      <c r="G13" s="44"/>
      <c r="H13" s="44"/>
      <c r="I13" s="44"/>
      <c r="J13" s="44"/>
    </row>
    <row r="16" spans="1:15">
      <c r="D16" s="47" t="s">
        <v>117</v>
      </c>
      <c r="G16" s="47" t="s">
        <v>116</v>
      </c>
      <c r="J16" s="48" t="s">
        <v>119</v>
      </c>
      <c r="M16" s="48" t="s">
        <v>118</v>
      </c>
    </row>
    <row r="17" spans="3:17">
      <c r="C17" s="39"/>
      <c r="D17" s="8">
        <v>59.9</v>
      </c>
      <c r="G17" s="8">
        <v>26.16</v>
      </c>
      <c r="J17" s="8">
        <v>135.62</v>
      </c>
      <c r="M17" s="8">
        <v>27.1</v>
      </c>
    </row>
    <row r="18" spans="3:17">
      <c r="C18" s="39"/>
      <c r="D18" s="8">
        <v>67.84</v>
      </c>
      <c r="G18" s="8">
        <v>27.3</v>
      </c>
      <c r="J18" s="8">
        <v>138.01</v>
      </c>
      <c r="M18" s="8">
        <v>30.75</v>
      </c>
    </row>
    <row r="19" spans="3:17">
      <c r="C19" s="39"/>
      <c r="D19" s="8">
        <v>67.930000000000007</v>
      </c>
      <c r="E19" s="14" t="s">
        <v>120</v>
      </c>
      <c r="G19" s="8">
        <v>28.11</v>
      </c>
      <c r="H19" s="14" t="s">
        <v>120</v>
      </c>
      <c r="J19" s="8">
        <v>180.11</v>
      </c>
      <c r="K19" s="14" t="s">
        <v>120</v>
      </c>
      <c r="M19" s="8">
        <v>32.61</v>
      </c>
      <c r="N19" s="14" t="s">
        <v>120</v>
      </c>
    </row>
    <row r="20" spans="3:17">
      <c r="C20" s="39"/>
      <c r="D20" s="8">
        <v>68.87</v>
      </c>
      <c r="G20" s="8">
        <v>31.46</v>
      </c>
      <c r="J20" s="8">
        <v>184.89</v>
      </c>
      <c r="M20" s="8">
        <v>34.9</v>
      </c>
    </row>
    <row r="21" spans="3:17">
      <c r="C21" s="39"/>
      <c r="D21" s="8">
        <v>71.81</v>
      </c>
      <c r="G21" s="8">
        <v>32.71</v>
      </c>
      <c r="J21" s="8">
        <v>185.13</v>
      </c>
      <c r="M21" s="8">
        <v>35.33</v>
      </c>
    </row>
    <row r="22" spans="3:17">
      <c r="C22" s="39"/>
      <c r="D22" s="8">
        <v>71.89</v>
      </c>
      <c r="G22" s="8">
        <v>33.86</v>
      </c>
      <c r="J22" s="8">
        <v>185.46</v>
      </c>
      <c r="M22" s="8">
        <v>36.950000000000003</v>
      </c>
    </row>
    <row r="23" spans="3:17">
      <c r="C23" s="39"/>
      <c r="D23" s="8">
        <v>73.53</v>
      </c>
      <c r="G23" s="8">
        <v>34.69</v>
      </c>
      <c r="J23" s="8">
        <v>189.74</v>
      </c>
      <c r="M23" s="8">
        <v>36.979999999999997</v>
      </c>
    </row>
    <row r="24" spans="3:17">
      <c r="C24" s="39"/>
      <c r="D24" s="8">
        <v>78.05</v>
      </c>
      <c r="E24" s="14" t="s">
        <v>122</v>
      </c>
      <c r="G24" s="8">
        <v>35.83</v>
      </c>
      <c r="H24" s="14" t="s">
        <v>122</v>
      </c>
      <c r="J24" s="8">
        <v>192.83</v>
      </c>
      <c r="K24" s="14" t="s">
        <v>122</v>
      </c>
      <c r="M24" s="8">
        <v>37.619999999999997</v>
      </c>
      <c r="N24" s="14" t="s">
        <v>122</v>
      </c>
    </row>
    <row r="25" spans="3:17">
      <c r="C25" s="39"/>
      <c r="D25" s="8">
        <v>79.11</v>
      </c>
      <c r="G25" s="8">
        <v>36</v>
      </c>
      <c r="J25" s="8">
        <v>208.19</v>
      </c>
      <c r="M25" s="8">
        <v>37.86</v>
      </c>
    </row>
    <row r="26" spans="3:17">
      <c r="C26" s="39"/>
      <c r="D26" s="8">
        <v>81.59</v>
      </c>
      <c r="G26" s="8">
        <v>36.64</v>
      </c>
      <c r="J26" s="8">
        <v>223.17</v>
      </c>
      <c r="M26" s="8">
        <v>38.14</v>
      </c>
    </row>
    <row r="29" spans="3:17" ht="15" customHeight="1">
      <c r="C29" s="167" t="s">
        <v>16</v>
      </c>
      <c r="D29" s="170" t="s">
        <v>143</v>
      </c>
      <c r="E29" s="171"/>
      <c r="F29" s="171"/>
      <c r="G29" s="171"/>
      <c r="H29" s="171"/>
      <c r="I29" s="172"/>
      <c r="J29" s="24"/>
      <c r="K29" s="167" t="s">
        <v>15</v>
      </c>
      <c r="L29" s="170" t="s">
        <v>143</v>
      </c>
      <c r="M29" s="171"/>
      <c r="N29" s="171"/>
      <c r="O29" s="171"/>
      <c r="P29" s="171"/>
      <c r="Q29" s="172"/>
    </row>
    <row r="30" spans="3:17" ht="15" customHeight="1">
      <c r="C30" s="168"/>
      <c r="D30" s="173"/>
      <c r="E30" s="174"/>
      <c r="F30" s="174"/>
      <c r="G30" s="174"/>
      <c r="H30" s="174"/>
      <c r="I30" s="175"/>
      <c r="J30" s="24"/>
      <c r="K30" s="168"/>
      <c r="L30" s="173"/>
      <c r="M30" s="174"/>
      <c r="N30" s="174"/>
      <c r="O30" s="174"/>
      <c r="P30" s="174"/>
      <c r="Q30" s="175"/>
    </row>
    <row r="31" spans="3:17">
      <c r="C31" s="169"/>
      <c r="D31" s="176" t="s">
        <v>34</v>
      </c>
      <c r="E31" s="177"/>
      <c r="F31" s="178"/>
      <c r="G31" s="176" t="s">
        <v>42</v>
      </c>
      <c r="H31" s="177"/>
      <c r="I31" s="178"/>
      <c r="J31" s="24"/>
      <c r="K31" s="169"/>
      <c r="L31" s="176" t="s">
        <v>34</v>
      </c>
      <c r="M31" s="177"/>
      <c r="N31" s="178"/>
      <c r="O31" s="176" t="s">
        <v>42</v>
      </c>
      <c r="P31" s="177"/>
      <c r="Q31" s="178"/>
    </row>
    <row r="32" spans="3:17">
      <c r="C32" s="50" t="s">
        <v>123</v>
      </c>
      <c r="D32" s="179">
        <v>35.114999999999995</v>
      </c>
      <c r="E32" s="180"/>
      <c r="F32" s="181"/>
      <c r="G32" s="179">
        <v>186.47000000000003</v>
      </c>
      <c r="H32" s="180"/>
      <c r="I32" s="181"/>
      <c r="J32" s="24"/>
      <c r="K32" s="50" t="s">
        <v>123</v>
      </c>
      <c r="L32" s="179">
        <v>31.97</v>
      </c>
      <c r="M32" s="180"/>
      <c r="N32" s="181"/>
      <c r="O32" s="179">
        <v>72.990000000000009</v>
      </c>
      <c r="P32" s="180"/>
      <c r="Q32" s="181"/>
    </row>
    <row r="33" spans="3:17">
      <c r="C33" s="45" t="s">
        <v>124</v>
      </c>
      <c r="D33" s="179">
        <v>5.009999999999998</v>
      </c>
      <c r="E33" s="180"/>
      <c r="F33" s="181"/>
      <c r="G33" s="179">
        <v>12.719999999999999</v>
      </c>
      <c r="H33" s="180"/>
      <c r="I33" s="181"/>
      <c r="J33" s="24"/>
      <c r="K33" s="45" t="s">
        <v>124</v>
      </c>
      <c r="L33" s="179">
        <v>7.7199999999999989</v>
      </c>
      <c r="M33" s="180"/>
      <c r="N33" s="181"/>
      <c r="O33" s="179">
        <v>10.11999999999999</v>
      </c>
      <c r="P33" s="180"/>
      <c r="Q33" s="181"/>
    </row>
    <row r="34" spans="3:17">
      <c r="C34" s="45" t="s">
        <v>125</v>
      </c>
      <c r="D34" s="179">
        <f>D32/D33</f>
        <v>7.0089820359281454</v>
      </c>
      <c r="E34" s="180"/>
      <c r="F34" s="181"/>
      <c r="G34" s="179">
        <f>G32/G33</f>
        <v>14.659591194968558</v>
      </c>
      <c r="H34" s="180"/>
      <c r="I34" s="181"/>
      <c r="K34" s="45" t="s">
        <v>125</v>
      </c>
      <c r="L34" s="179">
        <f>L32/L33</f>
        <v>4.1411917098445601</v>
      </c>
      <c r="M34" s="180"/>
      <c r="N34" s="181"/>
      <c r="O34" s="179">
        <f>O32/O33</f>
        <v>7.212450592885383</v>
      </c>
      <c r="P34" s="180"/>
      <c r="Q34" s="181"/>
    </row>
    <row r="35" spans="3:17" ht="19.5">
      <c r="C35" s="46" t="s">
        <v>110</v>
      </c>
      <c r="D35" s="179">
        <f>D32-D33*0.523</f>
        <v>32.494769999999995</v>
      </c>
      <c r="E35" s="180"/>
      <c r="F35" s="181"/>
      <c r="G35" s="179">
        <f>G32-G33*0.523</f>
        <v>179.81744000000003</v>
      </c>
      <c r="H35" s="180"/>
      <c r="I35" s="181"/>
      <c r="K35" s="46" t="s">
        <v>110</v>
      </c>
      <c r="L35" s="179">
        <f>L32-L33*0.523</f>
        <v>27.93244</v>
      </c>
      <c r="M35" s="180"/>
      <c r="N35" s="181"/>
      <c r="O35" s="179">
        <f>O32-O33*0.523</f>
        <v>67.697240000000008</v>
      </c>
      <c r="P35" s="180"/>
      <c r="Q35" s="181"/>
    </row>
    <row r="36" spans="3:17" ht="19.5">
      <c r="C36" s="46" t="s">
        <v>113</v>
      </c>
      <c r="D36" s="179">
        <f>D32+D33*0.523</f>
        <v>37.735229999999994</v>
      </c>
      <c r="E36" s="180"/>
      <c r="F36" s="181"/>
      <c r="G36" s="179">
        <f>G32+G33*0.523</f>
        <v>193.12256000000002</v>
      </c>
      <c r="H36" s="180"/>
      <c r="I36" s="181"/>
      <c r="K36" s="46" t="s">
        <v>113</v>
      </c>
      <c r="L36" s="179">
        <f>L32+L33*0.523</f>
        <v>36.007559999999998</v>
      </c>
      <c r="M36" s="180"/>
      <c r="N36" s="181"/>
      <c r="O36" s="179">
        <f>O32+O33*0.523</f>
        <v>78.28276000000001</v>
      </c>
      <c r="P36" s="180"/>
      <c r="Q36" s="181"/>
    </row>
  </sheetData>
  <sortState ref="M17:M26">
    <sortCondition ref="M17:M26"/>
  </sortState>
  <mergeCells count="28">
    <mergeCell ref="L32:N32"/>
    <mergeCell ref="O32:Q32"/>
    <mergeCell ref="L33:N33"/>
    <mergeCell ref="O33:Q33"/>
    <mergeCell ref="L34:N34"/>
    <mergeCell ref="O34:Q34"/>
    <mergeCell ref="D36:F36"/>
    <mergeCell ref="G36:I36"/>
    <mergeCell ref="K29:K31"/>
    <mergeCell ref="L29:Q30"/>
    <mergeCell ref="L31:N31"/>
    <mergeCell ref="O31:Q31"/>
    <mergeCell ref="D33:F33"/>
    <mergeCell ref="G33:I33"/>
    <mergeCell ref="D34:F34"/>
    <mergeCell ref="G34:I34"/>
    <mergeCell ref="D35:F35"/>
    <mergeCell ref="G35:I35"/>
    <mergeCell ref="L35:N35"/>
    <mergeCell ref="O35:Q35"/>
    <mergeCell ref="L36:N36"/>
    <mergeCell ref="O36:Q36"/>
    <mergeCell ref="C29:C31"/>
    <mergeCell ref="D29:I30"/>
    <mergeCell ref="D31:F31"/>
    <mergeCell ref="G31:I31"/>
    <mergeCell ref="D32:F32"/>
    <mergeCell ref="G32:I3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7"/>
  <sheetViews>
    <sheetView zoomScale="115" zoomScaleNormal="115" workbookViewId="0">
      <selection activeCell="F8" sqref="F8"/>
    </sheetView>
  </sheetViews>
  <sheetFormatPr defaultRowHeight="15"/>
  <cols>
    <col min="2" max="2" width="10.7109375" customWidth="1"/>
    <col min="3" max="3" width="13.5703125" customWidth="1"/>
    <col min="4" max="4" width="6.5703125" customWidth="1"/>
    <col min="5" max="5" width="2" customWidth="1"/>
  </cols>
  <sheetData>
    <row r="3" spans="2:3" ht="33.75" customHeight="1">
      <c r="B3" s="93"/>
      <c r="C3" s="143" t="s">
        <v>168</v>
      </c>
    </row>
    <row r="4" spans="2:3">
      <c r="B4" s="93" t="s">
        <v>305</v>
      </c>
      <c r="C4" s="112">
        <v>70</v>
      </c>
    </row>
    <row r="5" spans="2:3">
      <c r="B5" s="93" t="s">
        <v>116</v>
      </c>
      <c r="C5" s="112">
        <v>30</v>
      </c>
    </row>
    <row r="6" spans="2:3">
      <c r="B6" s="93" t="s">
        <v>306</v>
      </c>
      <c r="C6" s="112">
        <v>175</v>
      </c>
    </row>
    <row r="7" spans="2:3">
      <c r="B7" s="93" t="s">
        <v>118</v>
      </c>
      <c r="C7" s="112">
        <v>30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8"/>
  <sheetViews>
    <sheetView workbookViewId="0">
      <selection activeCell="K11" sqref="K11"/>
    </sheetView>
  </sheetViews>
  <sheetFormatPr defaultRowHeight="15"/>
  <cols>
    <col min="4" max="4" width="11.28515625" customWidth="1"/>
    <col min="5" max="5" width="18.140625" customWidth="1"/>
    <col min="6" max="6" width="21.28515625" customWidth="1"/>
    <col min="7" max="7" width="14.140625" customWidth="1"/>
    <col min="8" max="8" width="21" customWidth="1"/>
    <col min="9" max="9" width="16.85546875" customWidth="1"/>
    <col min="10" max="10" width="21" customWidth="1"/>
    <col min="11" max="11" width="15.7109375" customWidth="1"/>
    <col min="13" max="13" width="20.140625" customWidth="1"/>
  </cols>
  <sheetData>
    <row r="4" spans="2:6" ht="15.75">
      <c r="B4" s="84"/>
      <c r="C4" s="86" t="s">
        <v>155</v>
      </c>
      <c r="D4" s="86"/>
      <c r="E4" s="183" t="s">
        <v>126</v>
      </c>
      <c r="F4" s="182" t="s">
        <v>129</v>
      </c>
    </row>
    <row r="5" spans="2:6" ht="15.75">
      <c r="B5" s="184" t="s">
        <v>156</v>
      </c>
      <c r="C5" s="185"/>
      <c r="D5" s="64" t="s">
        <v>157</v>
      </c>
      <c r="E5" s="183"/>
      <c r="F5" s="182"/>
    </row>
    <row r="6" spans="2:6" ht="15.75">
      <c r="B6" s="35" t="s">
        <v>116</v>
      </c>
      <c r="C6" s="67">
        <v>1.9450000000000001</v>
      </c>
      <c r="D6" s="63">
        <f>100*C6*0.0981</f>
        <v>19.080450000000003</v>
      </c>
      <c r="E6" s="65">
        <v>24.5</v>
      </c>
      <c r="F6" s="70">
        <v>10.199999999999999</v>
      </c>
    </row>
    <row r="7" spans="2:6" ht="15.75">
      <c r="B7" s="35" t="s">
        <v>117</v>
      </c>
      <c r="C7" s="67">
        <v>0.85899999999999999</v>
      </c>
      <c r="D7" s="63">
        <f t="shared" ref="D7:D8" si="0">100*C7*0.0981</f>
        <v>8.4267900000000004</v>
      </c>
      <c r="E7" s="65">
        <v>24.5</v>
      </c>
      <c r="F7" s="70">
        <v>22.6</v>
      </c>
    </row>
    <row r="8" spans="2:6" ht="15.75">
      <c r="B8" s="35" t="s">
        <v>118</v>
      </c>
      <c r="C8" s="67">
        <v>1.2909999999999999</v>
      </c>
      <c r="D8" s="63">
        <f t="shared" si="0"/>
        <v>12.664709999999999</v>
      </c>
      <c r="E8" s="65">
        <v>24.5</v>
      </c>
      <c r="F8" s="70">
        <v>14.75</v>
      </c>
    </row>
    <row r="9" spans="2:6" ht="15.75">
      <c r="B9" s="35" t="s">
        <v>119</v>
      </c>
      <c r="C9" s="67">
        <v>5.875</v>
      </c>
      <c r="D9" s="63">
        <f>100*C9*0.0981</f>
        <v>57.633750000000006</v>
      </c>
      <c r="E9" s="65">
        <v>24.5</v>
      </c>
      <c r="F9" s="71" t="s">
        <v>130</v>
      </c>
    </row>
    <row r="13" spans="2:6" ht="31.5">
      <c r="B13" s="65"/>
      <c r="C13" s="87" t="s">
        <v>126</v>
      </c>
      <c r="D13" s="64" t="s">
        <v>129</v>
      </c>
    </row>
    <row r="14" spans="2:6" ht="15.75">
      <c r="B14" s="66" t="s">
        <v>116</v>
      </c>
      <c r="C14" s="65">
        <v>24.5</v>
      </c>
      <c r="D14" s="67">
        <v>10.199999999999999</v>
      </c>
    </row>
    <row r="15" spans="2:6" ht="15.75">
      <c r="B15" s="66" t="s">
        <v>117</v>
      </c>
      <c r="C15" s="65">
        <v>24.5</v>
      </c>
      <c r="D15" s="67">
        <v>22.6</v>
      </c>
    </row>
    <row r="16" spans="2:6" ht="15.75">
      <c r="B16" s="66" t="s">
        <v>118</v>
      </c>
      <c r="C16" s="65">
        <v>24.5</v>
      </c>
      <c r="D16" s="67">
        <v>14.75</v>
      </c>
    </row>
    <row r="17" spans="2:4" ht="18" customHeight="1">
      <c r="B17" s="66" t="s">
        <v>119</v>
      </c>
      <c r="C17" s="65">
        <v>24.5</v>
      </c>
      <c r="D17" s="68">
        <v>50</v>
      </c>
    </row>
    <row r="18" spans="2:4" ht="15.75" customHeight="1"/>
  </sheetData>
  <mergeCells count="3">
    <mergeCell ref="F4:F5"/>
    <mergeCell ref="E4:E5"/>
    <mergeCell ref="B5:C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J11"/>
  <sheetViews>
    <sheetView workbookViewId="0">
      <selection activeCell="J18" sqref="J18"/>
    </sheetView>
  </sheetViews>
  <sheetFormatPr defaultRowHeight="15"/>
  <cols>
    <col min="4" max="4" width="15.42578125" customWidth="1"/>
    <col min="5" max="5" width="10.28515625" customWidth="1"/>
    <col min="6" max="6" width="11.42578125" customWidth="1"/>
    <col min="7" max="7" width="17" customWidth="1"/>
    <col min="8" max="9" width="14.42578125" customWidth="1"/>
    <col min="10" max="10" width="17.28515625" customWidth="1"/>
  </cols>
  <sheetData>
    <row r="6" spans="4:10" ht="15.75">
      <c r="D6" s="187"/>
      <c r="E6" s="188" t="s">
        <v>133</v>
      </c>
      <c r="F6" s="189"/>
      <c r="G6" s="189"/>
      <c r="H6" s="190" t="s">
        <v>134</v>
      </c>
      <c r="I6" s="190"/>
      <c r="J6" s="191"/>
    </row>
    <row r="7" spans="4:10" ht="47.25">
      <c r="D7" s="154"/>
      <c r="E7" s="123" t="s">
        <v>126</v>
      </c>
      <c r="F7" s="124" t="s">
        <v>121</v>
      </c>
      <c r="G7" s="125" t="s">
        <v>135</v>
      </c>
      <c r="H7" s="69" t="s">
        <v>126</v>
      </c>
      <c r="I7" s="61" t="s">
        <v>129</v>
      </c>
      <c r="J7" s="64" t="s">
        <v>135</v>
      </c>
    </row>
    <row r="8" spans="4:10" ht="15.75">
      <c r="D8" s="78" t="s">
        <v>116</v>
      </c>
      <c r="E8" s="79">
        <v>24.62</v>
      </c>
      <c r="F8" s="80">
        <v>15.8</v>
      </c>
      <c r="G8" s="186">
        <v>100</v>
      </c>
      <c r="H8" s="81">
        <v>24.5</v>
      </c>
      <c r="I8" s="79">
        <v>10.199999999999999</v>
      </c>
      <c r="J8" s="154">
        <v>12</v>
      </c>
    </row>
    <row r="9" spans="4:10" ht="15.75">
      <c r="D9" s="78" t="s">
        <v>117</v>
      </c>
      <c r="E9" s="79">
        <v>24.51</v>
      </c>
      <c r="F9" s="79">
        <v>45</v>
      </c>
      <c r="G9" s="186"/>
      <c r="H9" s="81">
        <v>24.5</v>
      </c>
      <c r="I9" s="79">
        <v>22.6</v>
      </c>
      <c r="J9" s="154"/>
    </row>
    <row r="10" spans="4:10" ht="15.75">
      <c r="D10" s="78" t="s">
        <v>118</v>
      </c>
      <c r="E10" s="79">
        <v>24.65</v>
      </c>
      <c r="F10" s="79">
        <v>17.899999999999999</v>
      </c>
      <c r="G10" s="186"/>
      <c r="H10" s="81">
        <v>24.5</v>
      </c>
      <c r="I10" s="79">
        <v>14.75</v>
      </c>
      <c r="J10" s="154"/>
    </row>
    <row r="11" spans="4:10" ht="15.75">
      <c r="D11" s="78" t="s">
        <v>119</v>
      </c>
      <c r="E11" s="79">
        <v>24.48</v>
      </c>
      <c r="F11" s="63">
        <v>81.400000000000006</v>
      </c>
      <c r="G11" s="186"/>
      <c r="H11" s="81">
        <v>24.5</v>
      </c>
      <c r="I11" s="82">
        <v>50</v>
      </c>
      <c r="J11" s="154"/>
    </row>
  </sheetData>
  <mergeCells count="5">
    <mergeCell ref="G8:G11"/>
    <mergeCell ref="J8:J11"/>
    <mergeCell ref="D6:D7"/>
    <mergeCell ref="E6:G6"/>
    <mergeCell ref="H6:J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31"/>
  <sheetViews>
    <sheetView topLeftCell="G1" zoomScale="70" zoomScaleNormal="70" workbookViewId="0">
      <selection activeCell="K16" sqref="K16:K27"/>
    </sheetView>
  </sheetViews>
  <sheetFormatPr defaultRowHeight="15"/>
  <cols>
    <col min="1" max="1" width="0" hidden="1" customWidth="1"/>
    <col min="2" max="2" width="5" customWidth="1"/>
    <col min="3" max="3" width="6.5703125" customWidth="1"/>
    <col min="4" max="4" width="11.28515625" customWidth="1"/>
    <col min="5" max="5" width="7.140625" customWidth="1"/>
    <col min="6" max="6" width="7" customWidth="1"/>
    <col min="7" max="7" width="6.85546875" customWidth="1"/>
    <col min="8" max="8" width="7.5703125" customWidth="1"/>
    <col min="9" max="9" width="6.7109375" customWidth="1"/>
    <col min="10" max="10" width="12" customWidth="1"/>
    <col min="11" max="11" width="4.7109375" customWidth="1"/>
    <col min="12" max="12" width="6.85546875" customWidth="1"/>
    <col min="13" max="13" width="12" customWidth="1"/>
    <col min="14" max="14" width="5.7109375" customWidth="1"/>
    <col min="15" max="15" width="6" customWidth="1"/>
    <col min="16" max="16" width="7" customWidth="1"/>
    <col min="17" max="17" width="6.140625" customWidth="1"/>
    <col min="18" max="18" width="5.7109375" customWidth="1"/>
    <col min="19" max="19" width="5.5703125" customWidth="1"/>
    <col min="21" max="21" width="10" customWidth="1"/>
    <col min="22" max="22" width="11" customWidth="1"/>
    <col min="23" max="23" width="7.85546875" customWidth="1"/>
    <col min="24" max="24" width="11.5703125" customWidth="1"/>
    <col min="28" max="28" width="10.5703125" customWidth="1"/>
    <col min="35" max="35" width="4.42578125" customWidth="1"/>
    <col min="36" max="36" width="7.7109375" customWidth="1"/>
    <col min="37" max="37" width="10.42578125" customWidth="1"/>
    <col min="38" max="38" width="11.42578125" customWidth="1"/>
    <col min="46" max="46" width="5.5703125" customWidth="1"/>
    <col min="47" max="47" width="5.85546875" customWidth="1"/>
    <col min="48" max="48" width="7.85546875" customWidth="1"/>
  </cols>
  <sheetData>
    <row r="1" spans="2:39">
      <c r="B1" s="195" t="s">
        <v>291</v>
      </c>
      <c r="C1" s="196"/>
      <c r="D1" s="196"/>
      <c r="E1" s="196"/>
      <c r="F1" s="196"/>
      <c r="G1" s="196"/>
      <c r="H1" s="196"/>
      <c r="I1" s="197"/>
      <c r="J1" s="216"/>
      <c r="K1" s="195" t="s">
        <v>326</v>
      </c>
      <c r="L1" s="196"/>
      <c r="M1" s="196"/>
      <c r="N1" s="196"/>
      <c r="O1" s="196"/>
      <c r="P1" s="196"/>
      <c r="Q1" s="196"/>
      <c r="R1" s="196"/>
      <c r="S1" s="197"/>
    </row>
    <row r="2" spans="2:39">
      <c r="B2" s="214"/>
      <c r="C2" s="193" t="s">
        <v>321</v>
      </c>
      <c r="E2" s="196" t="s">
        <v>327</v>
      </c>
      <c r="F2" s="196"/>
      <c r="G2" s="196"/>
      <c r="H2" s="196"/>
      <c r="I2" s="197"/>
      <c r="J2" s="216"/>
      <c r="K2" s="214"/>
      <c r="L2" s="193" t="s">
        <v>321</v>
      </c>
      <c r="N2" s="195" t="s">
        <v>327</v>
      </c>
      <c r="O2" s="196"/>
      <c r="P2" s="196"/>
      <c r="Q2" s="196"/>
      <c r="R2" s="196"/>
      <c r="S2" s="197"/>
    </row>
    <row r="3" spans="2:39">
      <c r="B3" s="215"/>
      <c r="C3" s="194"/>
      <c r="D3" s="122" t="s">
        <v>121</v>
      </c>
      <c r="E3" s="93">
        <v>64</v>
      </c>
      <c r="F3" s="93">
        <v>52</v>
      </c>
      <c r="G3" s="93">
        <v>28</v>
      </c>
      <c r="H3" s="93">
        <v>11</v>
      </c>
      <c r="I3" s="93">
        <v>9</v>
      </c>
      <c r="J3" s="216"/>
      <c r="K3" s="215"/>
      <c r="L3" s="194"/>
      <c r="M3" s="122" t="s">
        <v>121</v>
      </c>
      <c r="N3" s="93">
        <v>56</v>
      </c>
      <c r="O3" s="113">
        <v>46</v>
      </c>
      <c r="P3" s="113">
        <v>35</v>
      </c>
      <c r="Q3" s="113">
        <v>24</v>
      </c>
      <c r="R3" s="113">
        <v>9</v>
      </c>
      <c r="S3" s="93">
        <v>2</v>
      </c>
      <c r="V3" s="121" t="s">
        <v>277</v>
      </c>
      <c r="W3" s="121"/>
      <c r="X3" s="121"/>
      <c r="Y3" s="121"/>
      <c r="Z3" s="121"/>
      <c r="AB3" s="121" t="s">
        <v>278</v>
      </c>
      <c r="AC3" s="121"/>
      <c r="AD3" s="121"/>
      <c r="AE3" s="121"/>
      <c r="AF3" s="121"/>
    </row>
    <row r="4" spans="2:39" ht="15" customHeight="1">
      <c r="B4" s="211" t="s">
        <v>15</v>
      </c>
      <c r="C4" s="211" t="s">
        <v>298</v>
      </c>
      <c r="D4" s="112" t="s">
        <v>191</v>
      </c>
      <c r="E4" s="115">
        <v>0</v>
      </c>
      <c r="F4" s="115">
        <v>0.06</v>
      </c>
      <c r="G4" s="116">
        <v>0.05</v>
      </c>
      <c r="H4" s="117">
        <v>0.04</v>
      </c>
      <c r="I4" s="93">
        <v>0.03</v>
      </c>
      <c r="J4" s="216"/>
      <c r="K4" s="211" t="s">
        <v>15</v>
      </c>
      <c r="L4" s="211" t="s">
        <v>298</v>
      </c>
      <c r="M4" s="112" t="s">
        <v>191</v>
      </c>
      <c r="N4" s="115">
        <v>0</v>
      </c>
      <c r="O4" s="115">
        <v>0.12</v>
      </c>
      <c r="P4" s="115">
        <v>0.09</v>
      </c>
      <c r="Q4" s="116">
        <v>0.08</v>
      </c>
      <c r="R4" s="117">
        <v>0.09</v>
      </c>
      <c r="S4" s="93">
        <v>0.04</v>
      </c>
      <c r="V4" s="112" t="s">
        <v>121</v>
      </c>
      <c r="W4" s="93" t="s">
        <v>270</v>
      </c>
      <c r="X4" s="93" t="s">
        <v>271</v>
      </c>
      <c r="Y4" s="93" t="s">
        <v>272</v>
      </c>
      <c r="Z4" s="93" t="s">
        <v>273</v>
      </c>
      <c r="AB4" s="112" t="s">
        <v>121</v>
      </c>
      <c r="AC4" s="93" t="s">
        <v>270</v>
      </c>
      <c r="AD4" s="93" t="s">
        <v>271</v>
      </c>
      <c r="AE4" s="93" t="s">
        <v>272</v>
      </c>
      <c r="AF4" s="93" t="s">
        <v>273</v>
      </c>
      <c r="AI4" s="93"/>
      <c r="AJ4" s="93" t="s">
        <v>321</v>
      </c>
      <c r="AK4" s="137" t="s">
        <v>121</v>
      </c>
      <c r="AL4" s="137" t="s">
        <v>327</v>
      </c>
      <c r="AM4" s="137" t="s">
        <v>329</v>
      </c>
    </row>
    <row r="5" spans="2:39">
      <c r="B5" s="212"/>
      <c r="C5" s="212"/>
      <c r="D5" s="112" t="s">
        <v>189</v>
      </c>
      <c r="E5" s="115">
        <v>0</v>
      </c>
      <c r="F5" s="115">
        <v>0.06</v>
      </c>
      <c r="G5" s="116">
        <v>0.04</v>
      </c>
      <c r="H5" s="117">
        <v>0.04</v>
      </c>
      <c r="I5" s="93">
        <v>0.02</v>
      </c>
      <c r="J5" s="216"/>
      <c r="K5" s="212"/>
      <c r="L5" s="212"/>
      <c r="M5" s="112" t="s">
        <v>189</v>
      </c>
      <c r="N5" s="115">
        <v>0</v>
      </c>
      <c r="O5" s="115">
        <v>0.12</v>
      </c>
      <c r="P5" s="115">
        <v>0.1</v>
      </c>
      <c r="Q5" s="116">
        <v>0.09</v>
      </c>
      <c r="R5" s="117">
        <v>0.1</v>
      </c>
      <c r="S5" s="93">
        <v>0.04</v>
      </c>
      <c r="V5" s="115">
        <v>46</v>
      </c>
      <c r="W5" s="138">
        <v>0.114</v>
      </c>
      <c r="X5" s="138">
        <f>W5*133.322</f>
        <v>15.198708000000002</v>
      </c>
      <c r="Y5" s="138">
        <f>50*7/10000</f>
        <v>3.5000000000000003E-2</v>
      </c>
      <c r="Z5" s="138">
        <f>X5*Y5</f>
        <v>0.53195478000000007</v>
      </c>
      <c r="AB5" s="115">
        <v>64</v>
      </c>
      <c r="AC5" s="115">
        <v>0</v>
      </c>
      <c r="AD5" s="115">
        <f>AC5*133.322</f>
        <v>0</v>
      </c>
      <c r="AE5" s="115">
        <f>10*7/10000</f>
        <v>7.0000000000000001E-3</v>
      </c>
      <c r="AF5" s="115">
        <f>AD5*AE5</f>
        <v>0</v>
      </c>
      <c r="AI5" s="162" t="s">
        <v>15</v>
      </c>
      <c r="AJ5" s="93" t="s">
        <v>298</v>
      </c>
      <c r="AK5" s="93">
        <v>9</v>
      </c>
      <c r="AL5" s="93">
        <v>0.09</v>
      </c>
      <c r="AM5" s="93">
        <v>0.78</v>
      </c>
    </row>
    <row r="6" spans="2:39" ht="15" customHeight="1">
      <c r="B6" s="212"/>
      <c r="C6" s="212"/>
      <c r="D6" s="112" t="s">
        <v>186</v>
      </c>
      <c r="E6" s="115">
        <v>0</v>
      </c>
      <c r="F6" s="115">
        <v>0.05</v>
      </c>
      <c r="G6" s="116">
        <v>0.05</v>
      </c>
      <c r="H6" s="117">
        <v>0.04</v>
      </c>
      <c r="I6" s="93">
        <v>0.03</v>
      </c>
      <c r="J6" s="216"/>
      <c r="K6" s="212"/>
      <c r="L6" s="212"/>
      <c r="M6" s="112" t="s">
        <v>186</v>
      </c>
      <c r="N6" s="115">
        <v>0</v>
      </c>
      <c r="O6" s="115">
        <v>0.1</v>
      </c>
      <c r="P6" s="115">
        <v>0.09</v>
      </c>
      <c r="Q6" s="116">
        <v>7.0000000000000007E-2</v>
      </c>
      <c r="R6" s="117">
        <v>0.09</v>
      </c>
      <c r="S6" s="93">
        <v>0.03</v>
      </c>
      <c r="V6" s="115">
        <v>35</v>
      </c>
      <c r="W6" s="138">
        <v>9.4E-2</v>
      </c>
      <c r="X6" s="138">
        <f>W6*133.322</f>
        <v>12.532268</v>
      </c>
      <c r="Y6" s="138">
        <f>60*7/10000</f>
        <v>4.2000000000000003E-2</v>
      </c>
      <c r="Z6" s="138">
        <f t="shared" ref="Z6:Z9" si="0">X6*Y6</f>
        <v>0.52635525599999999</v>
      </c>
      <c r="AB6" s="115">
        <v>52</v>
      </c>
      <c r="AC6" s="138">
        <v>0.06</v>
      </c>
      <c r="AD6" s="138">
        <f>AC6*133.322</f>
        <v>7.99932</v>
      </c>
      <c r="AE6" s="138">
        <f>8*8/10000</f>
        <v>6.4000000000000003E-3</v>
      </c>
      <c r="AF6" s="138">
        <f>AD6*AE6</f>
        <v>5.1195648000000003E-2</v>
      </c>
      <c r="AI6" s="162"/>
      <c r="AJ6" s="93" t="s">
        <v>299</v>
      </c>
      <c r="AK6" s="93">
        <v>2</v>
      </c>
      <c r="AL6" s="93">
        <v>0.02</v>
      </c>
      <c r="AM6" s="93">
        <v>0.39</v>
      </c>
    </row>
    <row r="7" spans="2:39">
      <c r="B7" s="212"/>
      <c r="C7" s="212"/>
      <c r="D7" s="112" t="s">
        <v>183</v>
      </c>
      <c r="E7" s="115">
        <v>0</v>
      </c>
      <c r="F7" s="115">
        <v>0.06</v>
      </c>
      <c r="G7" s="116">
        <v>0.05</v>
      </c>
      <c r="H7" s="117">
        <v>0.04</v>
      </c>
      <c r="I7" s="93">
        <v>0.02</v>
      </c>
      <c r="J7" s="216"/>
      <c r="K7" s="212"/>
      <c r="L7" s="212"/>
      <c r="M7" s="112" t="s">
        <v>183</v>
      </c>
      <c r="N7" s="115">
        <v>0</v>
      </c>
      <c r="O7" s="115">
        <v>0.11</v>
      </c>
      <c r="P7" s="115">
        <v>0.09</v>
      </c>
      <c r="Q7" s="116">
        <v>0.08</v>
      </c>
      <c r="R7" s="117">
        <v>7.0000000000000007E-2</v>
      </c>
      <c r="S7" s="93">
        <v>0.04</v>
      </c>
      <c r="V7" s="116">
        <v>24</v>
      </c>
      <c r="W7" s="139">
        <v>0.08</v>
      </c>
      <c r="X7" s="139">
        <f t="shared" ref="X7:X9" si="1">W7*133.322</f>
        <v>10.665760000000001</v>
      </c>
      <c r="Y7" s="139">
        <f>70*8.75/10000</f>
        <v>6.1249999999999999E-2</v>
      </c>
      <c r="Z7" s="139">
        <f t="shared" si="0"/>
        <v>0.65327780000000002</v>
      </c>
      <c r="AB7" s="116">
        <v>28</v>
      </c>
      <c r="AC7" s="139">
        <v>4.5999999999999999E-2</v>
      </c>
      <c r="AD7" s="139">
        <f>AC7*133.322</f>
        <v>6.1328120000000004</v>
      </c>
      <c r="AE7" s="139">
        <f>20*8.5/10000</f>
        <v>1.7000000000000001E-2</v>
      </c>
      <c r="AF7" s="139">
        <f>AD7*AE7</f>
        <v>0.10425780400000001</v>
      </c>
      <c r="AI7" s="162" t="s">
        <v>16</v>
      </c>
      <c r="AJ7" s="93" t="s">
        <v>298</v>
      </c>
      <c r="AK7" s="93">
        <v>35</v>
      </c>
      <c r="AL7" s="93">
        <v>0.03</v>
      </c>
      <c r="AM7" s="93">
        <v>0.22</v>
      </c>
    </row>
    <row r="8" spans="2:39">
      <c r="B8" s="212"/>
      <c r="C8" s="212"/>
      <c r="D8" s="112" t="s">
        <v>180</v>
      </c>
      <c r="E8" s="115">
        <v>0</v>
      </c>
      <c r="F8" s="115">
        <v>7.0000000000000007E-2</v>
      </c>
      <c r="G8" s="116">
        <v>0.04</v>
      </c>
      <c r="H8" s="117">
        <v>0.04</v>
      </c>
      <c r="I8" s="93">
        <v>0.02</v>
      </c>
      <c r="J8" s="216"/>
      <c r="K8" s="212"/>
      <c r="L8" s="212"/>
      <c r="M8" s="112" t="s">
        <v>180</v>
      </c>
      <c r="N8" s="115">
        <v>0</v>
      </c>
      <c r="O8" s="115">
        <v>0.12</v>
      </c>
      <c r="P8" s="115">
        <v>0.1</v>
      </c>
      <c r="Q8" s="116">
        <v>0.08</v>
      </c>
      <c r="R8" s="117">
        <v>0.08</v>
      </c>
      <c r="S8" s="93">
        <v>0.04</v>
      </c>
      <c r="V8" s="120">
        <v>9</v>
      </c>
      <c r="W8" s="140">
        <v>8.5999999999999993E-2</v>
      </c>
      <c r="X8" s="140">
        <f t="shared" si="1"/>
        <v>11.465691999999999</v>
      </c>
      <c r="Y8" s="140">
        <f>80*8.5/10000</f>
        <v>6.8000000000000005E-2</v>
      </c>
      <c r="Z8" s="140">
        <f t="shared" si="0"/>
        <v>0.77966705599999997</v>
      </c>
      <c r="AB8" s="120">
        <v>11</v>
      </c>
      <c r="AC8" s="140">
        <v>0.04</v>
      </c>
      <c r="AD8" s="140">
        <f>AC8*133.322</f>
        <v>5.3328800000000003</v>
      </c>
      <c r="AE8" s="140">
        <f>25*9/10000</f>
        <v>2.2499999999999999E-2</v>
      </c>
      <c r="AF8" s="140">
        <f>AD8*AE8</f>
        <v>0.11998980000000001</v>
      </c>
      <c r="AI8" s="162"/>
      <c r="AJ8" s="93" t="s">
        <v>299</v>
      </c>
      <c r="AK8" s="93">
        <v>24</v>
      </c>
      <c r="AL8" s="93">
        <v>0.04</v>
      </c>
      <c r="AM8" s="93">
        <v>0.13</v>
      </c>
    </row>
    <row r="9" spans="2:39">
      <c r="B9" s="212"/>
      <c r="C9" s="213"/>
      <c r="D9" s="118" t="s">
        <v>264</v>
      </c>
      <c r="E9" s="93">
        <v>0</v>
      </c>
      <c r="F9" s="93">
        <f>AVERAGE(F4:F8)</f>
        <v>0.06</v>
      </c>
      <c r="G9" s="93">
        <f>AVERAGE(G4:G8)</f>
        <v>4.5999999999999999E-2</v>
      </c>
      <c r="H9" s="93">
        <f>AVERAGE(H4:H8)</f>
        <v>0.04</v>
      </c>
      <c r="I9" s="93">
        <f>AVERAGE(I4:I8)</f>
        <v>2.4E-2</v>
      </c>
      <c r="J9" s="216"/>
      <c r="K9" s="212"/>
      <c r="L9" s="213"/>
      <c r="M9" s="112" t="s">
        <v>264</v>
      </c>
      <c r="N9" s="93">
        <v>0</v>
      </c>
      <c r="O9" s="93">
        <f>AVERAGE(O4:O8)</f>
        <v>0.11399999999999999</v>
      </c>
      <c r="P9" s="93">
        <f>AVERAGE(P4:P8)</f>
        <v>9.4E-2</v>
      </c>
      <c r="Q9" s="93">
        <f>AVERAGE(Q4:Q8)</f>
        <v>0.08</v>
      </c>
      <c r="R9" s="93">
        <f>AVERAGE(R4:R8)</f>
        <v>8.6000000000000007E-2</v>
      </c>
      <c r="S9" s="93">
        <f>AVERAGE(S4:S8)</f>
        <v>3.7999999999999999E-2</v>
      </c>
      <c r="V9" s="93">
        <v>2</v>
      </c>
      <c r="W9" s="141">
        <v>3.7999999999999999E-2</v>
      </c>
      <c r="X9" s="141">
        <f t="shared" si="1"/>
        <v>5.066236</v>
      </c>
      <c r="Y9" s="141">
        <f>90*9/10000</f>
        <v>8.1000000000000003E-2</v>
      </c>
      <c r="Z9" s="141">
        <f t="shared" si="0"/>
        <v>0.41036511600000003</v>
      </c>
    </row>
    <row r="10" spans="2:39" ht="17.25" customHeight="1">
      <c r="B10" s="212"/>
      <c r="C10" s="211" t="s">
        <v>299</v>
      </c>
      <c r="D10" s="112" t="s">
        <v>191</v>
      </c>
      <c r="E10" s="115">
        <v>0</v>
      </c>
      <c r="F10" s="115">
        <v>0</v>
      </c>
      <c r="G10" s="115">
        <v>0.08</v>
      </c>
      <c r="H10" s="116">
        <v>0.06</v>
      </c>
      <c r="I10" s="117">
        <v>0.03</v>
      </c>
      <c r="J10" s="216"/>
      <c r="K10" s="212"/>
      <c r="L10" s="211" t="s">
        <v>299</v>
      </c>
      <c r="M10" s="112" t="s">
        <v>191</v>
      </c>
      <c r="N10" s="115">
        <v>0</v>
      </c>
      <c r="O10" s="115">
        <v>0</v>
      </c>
      <c r="P10" s="115">
        <v>0.2</v>
      </c>
      <c r="Q10" s="115">
        <v>0.09</v>
      </c>
      <c r="R10" s="116">
        <v>7.0000000000000007E-2</v>
      </c>
      <c r="S10" s="117">
        <v>0.03</v>
      </c>
      <c r="AB10" s="121" t="s">
        <v>280</v>
      </c>
      <c r="AC10" s="121"/>
      <c r="AD10" s="121"/>
      <c r="AE10" s="121"/>
      <c r="AF10" s="121"/>
    </row>
    <row r="11" spans="2:39">
      <c r="B11" s="212"/>
      <c r="C11" s="212"/>
      <c r="D11" s="112" t="s">
        <v>189</v>
      </c>
      <c r="E11" s="115">
        <v>0</v>
      </c>
      <c r="F11" s="115">
        <v>0</v>
      </c>
      <c r="G11" s="115">
        <v>0.06</v>
      </c>
      <c r="H11" s="116">
        <v>0.05</v>
      </c>
      <c r="I11" s="117">
        <v>0.03</v>
      </c>
      <c r="J11" s="216"/>
      <c r="K11" s="212"/>
      <c r="L11" s="212"/>
      <c r="M11" s="112" t="s">
        <v>189</v>
      </c>
      <c r="N11" s="115">
        <v>0</v>
      </c>
      <c r="O11" s="115">
        <v>0.11</v>
      </c>
      <c r="P11" s="115">
        <v>0.19</v>
      </c>
      <c r="Q11" s="115">
        <v>0.11</v>
      </c>
      <c r="R11" s="116">
        <v>0.05</v>
      </c>
      <c r="S11" s="117">
        <v>0.02</v>
      </c>
      <c r="V11" s="121" t="s">
        <v>279</v>
      </c>
      <c r="W11" s="121"/>
      <c r="X11" s="121"/>
      <c r="Y11" s="121"/>
      <c r="Z11" s="121"/>
      <c r="AB11" s="112" t="s">
        <v>121</v>
      </c>
      <c r="AC11" s="93" t="s">
        <v>270</v>
      </c>
      <c r="AD11" s="93" t="s">
        <v>271</v>
      </c>
      <c r="AE11" s="93" t="s">
        <v>272</v>
      </c>
      <c r="AF11" s="93" t="s">
        <v>273</v>
      </c>
    </row>
    <row r="12" spans="2:39" ht="15" customHeight="1">
      <c r="B12" s="212"/>
      <c r="C12" s="212"/>
      <c r="D12" s="112" t="s">
        <v>186</v>
      </c>
      <c r="E12" s="115">
        <v>0</v>
      </c>
      <c r="F12" s="115">
        <v>0</v>
      </c>
      <c r="G12" s="115">
        <v>0.08</v>
      </c>
      <c r="H12" s="116">
        <v>0.06</v>
      </c>
      <c r="I12" s="117">
        <v>0.02</v>
      </c>
      <c r="J12" s="216"/>
      <c r="K12" s="212"/>
      <c r="L12" s="212"/>
      <c r="M12" s="112" t="s">
        <v>186</v>
      </c>
      <c r="N12" s="115">
        <v>0</v>
      </c>
      <c r="O12" s="115">
        <v>0.1</v>
      </c>
      <c r="P12" s="115">
        <v>0.21</v>
      </c>
      <c r="Q12" s="115">
        <v>0.1</v>
      </c>
      <c r="R12" s="116">
        <v>0.09</v>
      </c>
      <c r="S12" s="117">
        <v>0.02</v>
      </c>
      <c r="V12" s="112" t="s">
        <v>121</v>
      </c>
      <c r="W12" s="93" t="s">
        <v>270</v>
      </c>
      <c r="X12" s="93" t="s">
        <v>271</v>
      </c>
      <c r="Y12" s="93" t="s">
        <v>272</v>
      </c>
      <c r="Z12" s="93" t="s">
        <v>273</v>
      </c>
      <c r="AB12" s="115">
        <v>64</v>
      </c>
      <c r="AC12" s="138">
        <v>0</v>
      </c>
      <c r="AD12" s="138">
        <f>AC12*133.322</f>
        <v>0</v>
      </c>
      <c r="AE12" s="138">
        <f>10*8/10000</f>
        <v>8.0000000000000002E-3</v>
      </c>
      <c r="AF12" s="138">
        <f>AD12*AE12</f>
        <v>0</v>
      </c>
    </row>
    <row r="13" spans="2:39">
      <c r="B13" s="212"/>
      <c r="C13" s="212"/>
      <c r="D13" s="112" t="s">
        <v>183</v>
      </c>
      <c r="E13" s="115">
        <v>0</v>
      </c>
      <c r="F13" s="115">
        <v>0</v>
      </c>
      <c r="G13" s="115">
        <v>0.1</v>
      </c>
      <c r="H13" s="116">
        <v>0.06</v>
      </c>
      <c r="I13" s="117">
        <v>0.02</v>
      </c>
      <c r="J13" s="216"/>
      <c r="K13" s="212"/>
      <c r="L13" s="212"/>
      <c r="M13" s="112" t="s">
        <v>183</v>
      </c>
      <c r="N13" s="115">
        <v>0</v>
      </c>
      <c r="O13" s="115">
        <v>0</v>
      </c>
      <c r="P13" s="115">
        <v>0.2</v>
      </c>
      <c r="Q13" s="115">
        <v>0.1</v>
      </c>
      <c r="R13" s="116">
        <v>0.06</v>
      </c>
      <c r="S13" s="117">
        <v>0.02</v>
      </c>
      <c r="V13" s="115">
        <v>56</v>
      </c>
      <c r="W13" s="138">
        <v>0.14000000000000001</v>
      </c>
      <c r="X13" s="138">
        <f>W13*133.322</f>
        <v>18.665080000000003</v>
      </c>
      <c r="Y13" s="138">
        <f>52*8/10000</f>
        <v>4.1599999999999998E-2</v>
      </c>
      <c r="Z13" s="138">
        <f>X13*Y13</f>
        <v>0.77646732800000007</v>
      </c>
      <c r="AB13" s="116">
        <v>52</v>
      </c>
      <c r="AC13" s="139">
        <v>5.1999999999999998E-2</v>
      </c>
      <c r="AD13" s="139">
        <f>AC13*133.322</f>
        <v>6.9327439999999996</v>
      </c>
      <c r="AE13" s="139">
        <f>15*8.5/10000</f>
        <v>1.2749999999999999E-2</v>
      </c>
      <c r="AF13" s="139">
        <f>AD13*AE13</f>
        <v>8.8392485999999992E-2</v>
      </c>
    </row>
    <row r="14" spans="2:39">
      <c r="B14" s="212"/>
      <c r="C14" s="212"/>
      <c r="D14" s="112" t="s">
        <v>180</v>
      </c>
      <c r="E14" s="115">
        <v>0</v>
      </c>
      <c r="F14" s="115">
        <v>0</v>
      </c>
      <c r="G14" s="115">
        <v>7.0000000000000007E-2</v>
      </c>
      <c r="H14" s="116">
        <v>0.04</v>
      </c>
      <c r="I14" s="117">
        <v>0.03</v>
      </c>
      <c r="J14" s="216"/>
      <c r="K14" s="212"/>
      <c r="L14" s="212"/>
      <c r="M14" s="112" t="s">
        <v>180</v>
      </c>
      <c r="N14" s="115">
        <v>0</v>
      </c>
      <c r="O14" s="115">
        <v>0</v>
      </c>
      <c r="P14" s="115">
        <v>0.21</v>
      </c>
      <c r="Q14" s="115">
        <v>0.11</v>
      </c>
      <c r="R14" s="116">
        <v>0.06</v>
      </c>
      <c r="S14" s="117">
        <v>0.02</v>
      </c>
      <c r="V14" s="116">
        <v>46</v>
      </c>
      <c r="W14" s="139">
        <v>9.8000000000000004E-2</v>
      </c>
      <c r="X14" s="139">
        <f t="shared" ref="X14:X17" si="2">W14*133.322</f>
        <v>13.065556000000001</v>
      </c>
      <c r="Y14" s="139">
        <f>42*8.25/10000</f>
        <v>3.465E-2</v>
      </c>
      <c r="Z14" s="139">
        <f t="shared" ref="Z14:Z17" si="3">X14*Y14</f>
        <v>0.45272151540000005</v>
      </c>
      <c r="AB14" s="120">
        <v>28</v>
      </c>
      <c r="AC14" s="140">
        <v>3.5999999999999997E-2</v>
      </c>
      <c r="AD14" s="140">
        <f t="shared" ref="AD14:AD15" si="4">AC14*133.322</f>
        <v>4.7995919999999996</v>
      </c>
      <c r="AE14" s="140">
        <f>20*9/10000</f>
        <v>1.7999999999999999E-2</v>
      </c>
      <c r="AF14" s="140">
        <f>AD14*AE14</f>
        <v>8.6392655999999984E-2</v>
      </c>
    </row>
    <row r="15" spans="2:39">
      <c r="B15" s="213"/>
      <c r="C15" s="213"/>
      <c r="D15" s="112" t="s">
        <v>264</v>
      </c>
      <c r="E15" s="93">
        <f>AVERAGE(E10:E14)</f>
        <v>0</v>
      </c>
      <c r="F15" s="93">
        <f t="shared" ref="F15:I15" si="5">AVERAGE(F10:F14)</f>
        <v>0</v>
      </c>
      <c r="G15" s="93">
        <f t="shared" si="5"/>
        <v>7.8000000000000014E-2</v>
      </c>
      <c r="H15" s="93">
        <f t="shared" si="5"/>
        <v>5.3999999999999992E-2</v>
      </c>
      <c r="I15" s="93">
        <f t="shared" si="5"/>
        <v>2.6000000000000002E-2</v>
      </c>
      <c r="J15" s="216"/>
      <c r="K15" s="213"/>
      <c r="L15" s="213"/>
      <c r="M15" s="112" t="s">
        <v>264</v>
      </c>
      <c r="N15" s="93">
        <f>AVERAGE(N10:N14)</f>
        <v>0</v>
      </c>
      <c r="O15" s="93">
        <f>AVERAGE(O10:O14)</f>
        <v>4.2000000000000003E-2</v>
      </c>
      <c r="P15" s="93">
        <f>AVERAGE(P10:P14)</f>
        <v>0.20200000000000001</v>
      </c>
      <c r="Q15" s="93">
        <f>AVERAGE(Q10:Q14)</f>
        <v>0.10200000000000001</v>
      </c>
      <c r="R15" s="93">
        <f>AVERAGE(R10:R14)</f>
        <v>6.6000000000000003E-2</v>
      </c>
      <c r="S15" s="93">
        <f>AVERAGE(S10:S14)</f>
        <v>2.2000000000000002E-2</v>
      </c>
      <c r="V15" s="120">
        <v>35</v>
      </c>
      <c r="W15" s="140">
        <v>5.3999999999999999E-2</v>
      </c>
      <c r="X15" s="140">
        <f t="shared" si="2"/>
        <v>7.1993879999999999</v>
      </c>
      <c r="Y15" s="140">
        <f>32*9.5/10000</f>
        <v>3.04E-2</v>
      </c>
      <c r="Z15" s="140">
        <f t="shared" si="3"/>
        <v>0.2188613952</v>
      </c>
      <c r="AB15" s="120">
        <v>11</v>
      </c>
      <c r="AC15" s="140">
        <v>0.03</v>
      </c>
      <c r="AD15" s="140">
        <f t="shared" si="4"/>
        <v>3.99966</v>
      </c>
      <c r="AE15" s="140">
        <f>25*9.5/10000</f>
        <v>2.375E-2</v>
      </c>
      <c r="AF15" s="140">
        <f>AD15*AE15</f>
        <v>9.4991925000000005E-2</v>
      </c>
    </row>
    <row r="16" spans="2:39" ht="18" customHeight="1">
      <c r="B16" s="211" t="s">
        <v>16</v>
      </c>
      <c r="C16" s="211" t="s">
        <v>298</v>
      </c>
      <c r="D16" s="112" t="s">
        <v>191</v>
      </c>
      <c r="E16" s="116">
        <v>0.05</v>
      </c>
      <c r="F16" s="117">
        <v>0.04</v>
      </c>
      <c r="G16" s="117">
        <v>0.03</v>
      </c>
      <c r="H16" s="93">
        <v>0.02</v>
      </c>
      <c r="I16" s="93">
        <v>0</v>
      </c>
      <c r="J16" s="216"/>
      <c r="K16" s="211" t="s">
        <v>16</v>
      </c>
      <c r="L16" s="211" t="s">
        <v>298</v>
      </c>
      <c r="M16" s="112" t="s">
        <v>191</v>
      </c>
      <c r="N16" s="116">
        <v>0.09</v>
      </c>
      <c r="O16" s="117">
        <v>0.06</v>
      </c>
      <c r="P16" s="117">
        <v>0.04</v>
      </c>
      <c r="Q16" s="117">
        <v>0.03</v>
      </c>
      <c r="R16" s="93">
        <v>0</v>
      </c>
      <c r="S16" s="93">
        <v>0</v>
      </c>
      <c r="V16" s="117">
        <v>24</v>
      </c>
      <c r="W16" s="142">
        <v>3.7999999999999999E-2</v>
      </c>
      <c r="X16" s="142">
        <f t="shared" si="2"/>
        <v>5.066236</v>
      </c>
      <c r="Y16" s="142">
        <f>22*9.5/10000</f>
        <v>2.0899999999999998E-2</v>
      </c>
      <c r="Z16" s="142">
        <f t="shared" si="3"/>
        <v>0.10588433239999999</v>
      </c>
    </row>
    <row r="17" spans="2:26">
      <c r="B17" s="212"/>
      <c r="C17" s="212"/>
      <c r="D17" s="112" t="s">
        <v>189</v>
      </c>
      <c r="E17" s="116">
        <v>0.05</v>
      </c>
      <c r="F17" s="117">
        <v>0.03</v>
      </c>
      <c r="G17" s="117">
        <v>0.03</v>
      </c>
      <c r="H17" s="93">
        <v>0.01</v>
      </c>
      <c r="I17" s="93">
        <v>0</v>
      </c>
      <c r="J17" s="216"/>
      <c r="K17" s="212"/>
      <c r="L17" s="212"/>
      <c r="M17" s="112" t="s">
        <v>189</v>
      </c>
      <c r="N17" s="116">
        <v>0.1</v>
      </c>
      <c r="O17" s="117">
        <v>0.05</v>
      </c>
      <c r="P17" s="117">
        <v>0.03</v>
      </c>
      <c r="Q17" s="117">
        <v>0.03</v>
      </c>
      <c r="R17" s="113">
        <v>0</v>
      </c>
      <c r="S17" s="113">
        <v>0</v>
      </c>
      <c r="V17" s="93">
        <v>9</v>
      </c>
      <c r="W17" s="141">
        <v>0.03</v>
      </c>
      <c r="X17" s="141">
        <f t="shared" si="2"/>
        <v>3.99966</v>
      </c>
      <c r="Y17" s="141">
        <f>12*9.5/10000</f>
        <v>1.14E-2</v>
      </c>
      <c r="Z17" s="141">
        <f t="shared" si="3"/>
        <v>4.5596124000000002E-2</v>
      </c>
    </row>
    <row r="18" spans="2:26" ht="15" customHeight="1">
      <c r="B18" s="212"/>
      <c r="C18" s="212"/>
      <c r="D18" s="112" t="s">
        <v>186</v>
      </c>
      <c r="E18" s="116">
        <v>0.05</v>
      </c>
      <c r="F18" s="117">
        <v>0.04</v>
      </c>
      <c r="G18" s="117">
        <v>0.03</v>
      </c>
      <c r="H18" s="93">
        <v>0.01</v>
      </c>
      <c r="I18" s="93">
        <v>0</v>
      </c>
      <c r="J18" s="216"/>
      <c r="K18" s="212"/>
      <c r="L18" s="212"/>
      <c r="M18" s="112" t="s">
        <v>186</v>
      </c>
      <c r="N18" s="116">
        <v>0.09</v>
      </c>
      <c r="O18" s="117">
        <v>0.05</v>
      </c>
      <c r="P18" s="117">
        <v>0.04</v>
      </c>
      <c r="Q18" s="117">
        <v>0.03</v>
      </c>
      <c r="R18" s="113">
        <v>0</v>
      </c>
      <c r="S18" s="113">
        <v>0</v>
      </c>
    </row>
    <row r="19" spans="2:26">
      <c r="B19" s="212"/>
      <c r="C19" s="212"/>
      <c r="D19" s="112" t="s">
        <v>183</v>
      </c>
      <c r="E19" s="116">
        <v>0.05</v>
      </c>
      <c r="F19" s="117">
        <v>0.04</v>
      </c>
      <c r="G19" s="117">
        <v>0.03</v>
      </c>
      <c r="H19" s="93">
        <v>0.01</v>
      </c>
      <c r="I19" s="93">
        <v>0</v>
      </c>
      <c r="J19" s="216"/>
      <c r="K19" s="212"/>
      <c r="L19" s="212"/>
      <c r="M19" s="112" t="s">
        <v>183</v>
      </c>
      <c r="N19" s="116">
        <v>0.1</v>
      </c>
      <c r="O19" s="117">
        <v>0.05</v>
      </c>
      <c r="P19" s="117">
        <v>0.04</v>
      </c>
      <c r="Q19" s="117">
        <v>0.04</v>
      </c>
      <c r="R19" s="113">
        <v>0</v>
      </c>
      <c r="S19" s="113">
        <v>0</v>
      </c>
      <c r="V19" t="s">
        <v>265</v>
      </c>
    </row>
    <row r="20" spans="2:26">
      <c r="B20" s="212"/>
      <c r="C20" s="212"/>
      <c r="D20" s="112" t="s">
        <v>180</v>
      </c>
      <c r="E20" s="116">
        <v>0.06</v>
      </c>
      <c r="F20" s="117">
        <v>0.03</v>
      </c>
      <c r="G20" s="117">
        <v>0.03</v>
      </c>
      <c r="H20" s="93">
        <v>0.01</v>
      </c>
      <c r="I20" s="93">
        <v>0</v>
      </c>
      <c r="J20" s="216"/>
      <c r="K20" s="212"/>
      <c r="L20" s="212"/>
      <c r="M20" s="112" t="s">
        <v>180</v>
      </c>
      <c r="N20" s="116">
        <v>0.11</v>
      </c>
      <c r="O20" s="117">
        <v>0.06</v>
      </c>
      <c r="P20" s="117">
        <v>0.04</v>
      </c>
      <c r="Q20" s="117">
        <v>0.02</v>
      </c>
      <c r="R20" s="113">
        <v>0</v>
      </c>
      <c r="S20" s="113">
        <v>0</v>
      </c>
    </row>
    <row r="21" spans="2:26" ht="19.5" customHeight="1">
      <c r="B21" s="212"/>
      <c r="C21" s="213"/>
      <c r="D21" s="118" t="s">
        <v>264</v>
      </c>
      <c r="E21" s="93">
        <f>AVERAGE(E16:E20)</f>
        <v>5.2000000000000005E-2</v>
      </c>
      <c r="F21" s="93">
        <f>AVERAGE(F16:F20)</f>
        <v>3.6000000000000004E-2</v>
      </c>
      <c r="G21" s="93">
        <f>AVERAGE(G16:G20)</f>
        <v>0.03</v>
      </c>
      <c r="H21" s="93">
        <f>AVERAGE(H16:H20)</f>
        <v>1.2E-2</v>
      </c>
      <c r="I21" s="93">
        <v>0</v>
      </c>
      <c r="J21" s="216"/>
      <c r="K21" s="212"/>
      <c r="L21" s="213"/>
      <c r="M21" s="118" t="s">
        <v>264</v>
      </c>
      <c r="N21" s="93">
        <f>AVERAGE(N16:N20)</f>
        <v>9.8000000000000004E-2</v>
      </c>
      <c r="O21" s="93">
        <f>AVERAGE(O16:O20)</f>
        <v>5.4000000000000006E-2</v>
      </c>
      <c r="P21" s="93">
        <f>AVERAGE(P16:P20)</f>
        <v>3.8000000000000006E-2</v>
      </c>
      <c r="Q21" s="93">
        <f>AVERAGE(Q16:Q20)</f>
        <v>0.03</v>
      </c>
      <c r="R21" s="113">
        <v>0</v>
      </c>
      <c r="S21" s="113">
        <v>0</v>
      </c>
      <c r="V21" s="109"/>
      <c r="W21" t="s">
        <v>269</v>
      </c>
    </row>
    <row r="22" spans="2:26" ht="18" customHeight="1">
      <c r="B22" s="212"/>
      <c r="C22" s="211" t="s">
        <v>299</v>
      </c>
      <c r="D22" s="112" t="s">
        <v>191</v>
      </c>
      <c r="E22" s="115">
        <v>0.08</v>
      </c>
      <c r="F22" s="116">
        <v>0.06</v>
      </c>
      <c r="G22" s="116">
        <v>0.05</v>
      </c>
      <c r="H22" s="117">
        <v>0.03</v>
      </c>
      <c r="I22" s="113">
        <v>0</v>
      </c>
      <c r="J22" s="216"/>
      <c r="K22" s="212"/>
      <c r="L22" s="211" t="s">
        <v>299</v>
      </c>
      <c r="M22" s="112" t="s">
        <v>191</v>
      </c>
      <c r="N22" s="115">
        <v>0.13</v>
      </c>
      <c r="O22" s="115">
        <v>0.09</v>
      </c>
      <c r="P22" s="116">
        <v>7.0000000000000007E-2</v>
      </c>
      <c r="Q22" s="117">
        <v>0.04</v>
      </c>
      <c r="R22" s="113">
        <v>0</v>
      </c>
      <c r="S22" s="113">
        <v>0</v>
      </c>
    </row>
    <row r="23" spans="2:26">
      <c r="B23" s="212"/>
      <c r="C23" s="212"/>
      <c r="D23" s="112" t="s">
        <v>189</v>
      </c>
      <c r="E23" s="115">
        <v>0.1</v>
      </c>
      <c r="F23" s="116">
        <v>7.0000000000000007E-2</v>
      </c>
      <c r="G23" s="116">
        <v>0.04</v>
      </c>
      <c r="H23" s="117">
        <v>0.02</v>
      </c>
      <c r="I23" s="113">
        <v>0</v>
      </c>
      <c r="J23" s="216"/>
      <c r="K23" s="212"/>
      <c r="L23" s="212"/>
      <c r="M23" s="112" t="s">
        <v>189</v>
      </c>
      <c r="N23" s="115">
        <v>0.12</v>
      </c>
      <c r="O23" s="115">
        <v>0.1</v>
      </c>
      <c r="P23" s="116">
        <v>0.08</v>
      </c>
      <c r="Q23" s="117">
        <v>0.04</v>
      </c>
      <c r="R23" s="113">
        <v>0</v>
      </c>
      <c r="S23" s="113">
        <v>0</v>
      </c>
      <c r="V23" s="110"/>
      <c r="W23" t="s">
        <v>266</v>
      </c>
    </row>
    <row r="24" spans="2:26" ht="15" customHeight="1">
      <c r="B24" s="212"/>
      <c r="C24" s="212"/>
      <c r="D24" s="112" t="s">
        <v>186</v>
      </c>
      <c r="E24" s="115">
        <v>0.06</v>
      </c>
      <c r="F24" s="116">
        <v>7.0000000000000007E-2</v>
      </c>
      <c r="G24" s="116">
        <v>0.06</v>
      </c>
      <c r="H24" s="117">
        <v>0.02</v>
      </c>
      <c r="I24" s="113">
        <v>0</v>
      </c>
      <c r="J24" s="216"/>
      <c r="K24" s="212"/>
      <c r="L24" s="212"/>
      <c r="M24" s="112" t="s">
        <v>186</v>
      </c>
      <c r="N24" s="115">
        <v>0.1</v>
      </c>
      <c r="O24" s="115">
        <v>0.1</v>
      </c>
      <c r="P24" s="116">
        <v>7.0000000000000007E-2</v>
      </c>
      <c r="Q24" s="117">
        <v>0.03</v>
      </c>
      <c r="R24" s="113">
        <v>0</v>
      </c>
      <c r="S24" s="113">
        <v>0</v>
      </c>
    </row>
    <row r="25" spans="2:26">
      <c r="B25" s="212"/>
      <c r="C25" s="212"/>
      <c r="D25" s="112" t="s">
        <v>183</v>
      </c>
      <c r="E25" s="115">
        <v>7.0000000000000007E-2</v>
      </c>
      <c r="F25" s="116">
        <v>7.0000000000000007E-2</v>
      </c>
      <c r="G25" s="116">
        <v>0.05</v>
      </c>
      <c r="H25" s="117">
        <v>0.03</v>
      </c>
      <c r="I25" s="113">
        <v>0</v>
      </c>
      <c r="J25" s="216"/>
      <c r="K25" s="212"/>
      <c r="L25" s="212"/>
      <c r="M25" s="112" t="s">
        <v>183</v>
      </c>
      <c r="N25" s="115">
        <v>0.14000000000000001</v>
      </c>
      <c r="O25" s="115">
        <v>0.09</v>
      </c>
      <c r="P25" s="116">
        <v>7.0000000000000007E-2</v>
      </c>
      <c r="Q25" s="117">
        <v>0.04</v>
      </c>
      <c r="R25" s="113">
        <v>0</v>
      </c>
      <c r="S25" s="113">
        <v>0</v>
      </c>
      <c r="V25" s="111"/>
      <c r="W25" t="s">
        <v>267</v>
      </c>
    </row>
    <row r="26" spans="2:26">
      <c r="B26" s="212"/>
      <c r="C26" s="212"/>
      <c r="D26" s="112" t="s">
        <v>180</v>
      </c>
      <c r="E26" s="115">
        <v>0.1</v>
      </c>
      <c r="F26" s="116">
        <v>0.05</v>
      </c>
      <c r="G26" s="116">
        <v>0.04</v>
      </c>
      <c r="H26" s="117">
        <v>0.04</v>
      </c>
      <c r="I26" s="113">
        <v>0</v>
      </c>
      <c r="J26" s="216"/>
      <c r="K26" s="212"/>
      <c r="L26" s="212"/>
      <c r="M26" s="112" t="s">
        <v>180</v>
      </c>
      <c r="N26" s="115">
        <v>0.14000000000000001</v>
      </c>
      <c r="O26" s="115">
        <v>0.1</v>
      </c>
      <c r="P26" s="116">
        <v>0.09</v>
      </c>
      <c r="Q26" s="117">
        <v>0.04</v>
      </c>
      <c r="R26" s="113">
        <v>0</v>
      </c>
      <c r="S26" s="113">
        <v>0</v>
      </c>
    </row>
    <row r="27" spans="2:26">
      <c r="B27" s="213"/>
      <c r="C27" s="213"/>
      <c r="D27" s="112" t="s">
        <v>264</v>
      </c>
      <c r="E27" s="93">
        <f>AVERAGE(E22:E26)</f>
        <v>8.2000000000000003E-2</v>
      </c>
      <c r="F27" s="93">
        <f>AVERAGE(F22:F26)</f>
        <v>6.4000000000000001E-2</v>
      </c>
      <c r="G27" s="93">
        <f>AVERAGE(G22:G26)</f>
        <v>4.8000000000000001E-2</v>
      </c>
      <c r="H27" s="93">
        <f>AVERAGE(H22:H26)</f>
        <v>2.8000000000000004E-2</v>
      </c>
      <c r="I27" s="113">
        <v>0</v>
      </c>
      <c r="J27" s="216"/>
      <c r="K27" s="213"/>
      <c r="L27" s="213"/>
      <c r="M27" s="112" t="s">
        <v>264</v>
      </c>
      <c r="N27" s="93">
        <f>AVERAGE(N22:N26)</f>
        <v>0.126</v>
      </c>
      <c r="O27" s="93">
        <f>AVERAGE(O22:O26)</f>
        <v>9.6000000000000002E-2</v>
      </c>
      <c r="P27" s="93">
        <f>AVERAGE(P22:P26)</f>
        <v>7.5999999999999998E-2</v>
      </c>
      <c r="Q27" s="93">
        <f>AVERAGE(Q22:Q26)</f>
        <v>3.7999999999999999E-2</v>
      </c>
      <c r="R27" s="113">
        <v>0</v>
      </c>
      <c r="S27" s="113">
        <v>0</v>
      </c>
      <c r="V27" s="93"/>
      <c r="W27" t="s">
        <v>268</v>
      </c>
    </row>
    <row r="31" spans="2:26">
      <c r="M31" t="s">
        <v>328</v>
      </c>
    </row>
  </sheetData>
  <mergeCells count="22">
    <mergeCell ref="AI5:AI6"/>
    <mergeCell ref="AI7:AI8"/>
    <mergeCell ref="L16:L21"/>
    <mergeCell ref="L22:L27"/>
    <mergeCell ref="N2:S2"/>
    <mergeCell ref="K1:S1"/>
    <mergeCell ref="K16:K27"/>
    <mergeCell ref="B1:I1"/>
    <mergeCell ref="B16:B27"/>
    <mergeCell ref="C10:C15"/>
    <mergeCell ref="C16:C21"/>
    <mergeCell ref="C22:C27"/>
    <mergeCell ref="L2:L3"/>
    <mergeCell ref="L4:L9"/>
    <mergeCell ref="L10:L15"/>
    <mergeCell ref="B2:B3"/>
    <mergeCell ref="B4:B15"/>
    <mergeCell ref="C2:C3"/>
    <mergeCell ref="E2:I2"/>
    <mergeCell ref="C4:C9"/>
    <mergeCell ref="K2:K3"/>
    <mergeCell ref="K4:K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trhacka</vt:lpstr>
      <vt:lpstr>výpočty</vt:lpstr>
      <vt:lpstr>hustota</vt:lpstr>
      <vt:lpstr>pevnost a taznost</vt:lpstr>
      <vt:lpstr>počáteční prodloužení</vt:lpstr>
      <vt:lpstr>pomerne protazeni</vt:lpstr>
      <vt:lpstr>KES</vt:lpstr>
      <vt:lpstr>porovnani metod</vt:lpstr>
      <vt:lpstr>s.m.</vt:lpstr>
      <vt:lpstr>analyza</vt:lpstr>
      <vt:lpstr>rozmery</vt:lpstr>
      <vt:lpstr>tricko tabulka</vt:lpstr>
      <vt:lpstr>kontrola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fisher</dc:creator>
  <cp:lastModifiedBy>Никита Крамаренко</cp:lastModifiedBy>
  <cp:revision/>
  <dcterms:created xsi:type="dcterms:W3CDTF">2023-04-15T16:20:34Z</dcterms:created>
  <dcterms:modified xsi:type="dcterms:W3CDTF">2024-05-19T12:35:48Z</dcterms:modified>
</cp:coreProperties>
</file>